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TIKsmtsrjXPfzY4smSiwvUzkmZJb2IPnCgN7BzSJF3tCIk6d554cMWj9RBgNAAuN6ME1fhuL0x29G2xYW+5Kw==" workbookSaltValue="NjXBwEBA3s0V5rSXexuJh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G16" i="8"/>
  <c r="BD9" i="8"/>
  <c r="BF9" i="8"/>
  <c r="C30" i="7"/>
  <c r="AO14" i="21"/>
  <c r="AP14" i="16"/>
  <c r="T23" i="17"/>
  <c r="T26" i="17" s="1"/>
  <c r="T30" i="17" s="1"/>
  <c r="BG16" i="13"/>
  <c r="BE17" i="13"/>
  <c r="BE16" i="13"/>
  <c r="G23" i="14"/>
  <c r="X32" i="20"/>
  <c r="G30" i="14"/>
  <c r="AY14" i="8" l="1"/>
  <c r="U13" i="16"/>
  <c r="H13" i="10"/>
  <c r="AS14" i="8"/>
  <c r="R13" i="17"/>
  <c r="R8" i="9"/>
  <c r="BF17" i="8"/>
  <c r="BD12" i="8"/>
  <c r="B16" i="6"/>
  <c r="V13" i="11"/>
  <c r="BM12" i="11"/>
  <c r="BI25" i="11"/>
  <c r="V11" i="11"/>
  <c r="BK29" i="11"/>
  <c r="BG20" i="11"/>
  <c r="BF28" i="11"/>
  <c r="BH16" i="16"/>
  <c r="BF13" i="11"/>
  <c r="BH9" i="16"/>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P17" i="20" l="1"/>
  <c r="BG25" i="11"/>
  <c r="BF18" i="11"/>
  <c r="AZ19" i="11"/>
  <c r="BK21" i="11"/>
  <c r="AP10" i="21"/>
  <c r="BH20" i="16"/>
  <c r="BJ11" i="11"/>
  <c r="BH22" i="16"/>
  <c r="R10" i="21"/>
  <c r="R14" i="21" s="1"/>
  <c r="R31" i="21" s="1"/>
  <c r="BJ20" i="11"/>
  <c r="BG16" i="11"/>
  <c r="BH13" i="11"/>
  <c r="BL13" i="11"/>
  <c r="BH18" i="11"/>
  <c r="BM16"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V16" i="11"/>
  <c r="BG22" i="11"/>
  <c r="AZ18" i="11"/>
  <c r="V9" i="11"/>
  <c r="BJ16" i="11"/>
  <c r="AP16" i="20"/>
  <c r="V20" i="11"/>
  <c r="BG19" i="11"/>
  <c r="AP26" i="21"/>
  <c r="AP18" i="20"/>
  <c r="BG21" i="11"/>
  <c r="BU25" i="17"/>
  <c r="BV28" i="16"/>
  <c r="BV13" i="16"/>
  <c r="BW13" i="20"/>
  <c r="BV21" i="16"/>
  <c r="BU29" i="17"/>
  <c r="BV11" i="16"/>
  <c r="BU20" i="17"/>
  <c r="BW29" i="20"/>
  <c r="BW22" i="20"/>
  <c r="BV29" i="16"/>
  <c r="BU17" i="17"/>
  <c r="AA20" i="16"/>
  <c r="AZ17" i="11"/>
  <c r="BF20" i="11"/>
  <c r="S16" i="16"/>
  <c r="S23" i="16" s="1"/>
  <c r="S31" i="16" s="1"/>
  <c r="BL20" i="11"/>
  <c r="BL16" i="11"/>
  <c r="Q16" i="11" s="1"/>
  <c r="BH21" i="11"/>
  <c r="AZ25" i="11"/>
  <c r="AZ30" i="11" s="1"/>
  <c r="BK17" i="11"/>
  <c r="BM18" i="11"/>
  <c r="BH17" i="11"/>
  <c r="AQ12" i="21"/>
  <c r="BH25" i="11"/>
  <c r="BI21" i="11"/>
  <c r="L10" i="2"/>
  <c r="L28" i="2"/>
  <c r="X21" i="20"/>
  <c r="S16" i="17"/>
  <c r="S17" i="17"/>
  <c r="L12" i="2"/>
  <c r="L25" i="2"/>
  <c r="L13" i="2"/>
  <c r="X10" i="21"/>
  <c r="L19" i="2"/>
  <c r="U9" i="17"/>
  <c r="U31" i="17" s="1"/>
  <c r="L9" i="2"/>
  <c r="V25" i="16"/>
  <c r="X13" i="16"/>
  <c r="BV25" i="16"/>
  <c r="BU18" i="17"/>
  <c r="AZ22" i="11"/>
  <c r="P16" i="17"/>
  <c r="P23" i="17" s="1"/>
  <c r="P31" i="17" s="1"/>
  <c r="BK20" i="11"/>
  <c r="BJ10" i="11"/>
  <c r="Q16" i="17"/>
  <c r="BL22" i="11"/>
  <c r="BK10" i="11"/>
  <c r="BK14" i="11" s="1"/>
  <c r="L16" i="2"/>
  <c r="L18" i="2"/>
  <c r="AA11" i="16"/>
  <c r="V9" i="16"/>
  <c r="Q18" i="20"/>
  <c r="Q23" i="20" s="1"/>
  <c r="AP21" i="20"/>
  <c r="BI19" i="11"/>
  <c r="AP22" i="20"/>
  <c r="AZ13" i="11"/>
  <c r="BL25" i="11"/>
  <c r="AZ9" i="11"/>
  <c r="BM20" i="11"/>
  <c r="BJ28" i="11"/>
  <c r="BU28" i="17"/>
  <c r="BU11" i="17"/>
  <c r="BU33" i="17" s="1"/>
  <c r="BW9" i="20"/>
  <c r="BU21" i="17"/>
  <c r="BV17" i="16"/>
  <c r="BW17" i="20"/>
  <c r="BW16" i="20"/>
  <c r="U10" i="17"/>
  <c r="BV10" i="16"/>
  <c r="S11" i="17"/>
  <c r="BV20" i="16"/>
  <c r="R28" i="14"/>
  <c r="X16" i="17"/>
  <c r="T17" i="11"/>
  <c r="BF12" i="11"/>
  <c r="BH25" i="16"/>
  <c r="BF16" i="11"/>
  <c r="BI22" i="11"/>
  <c r="L22" i="2"/>
  <c r="L29" i="2"/>
  <c r="L17" i="2"/>
  <c r="X19" i="16"/>
  <c r="L20" i="2"/>
  <c r="L21" i="2"/>
  <c r="AA9" i="16"/>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Q23" i="17"/>
  <c r="Q31" i="17" s="1"/>
  <c r="AZ14" i="11"/>
  <c r="AZ31" i="11"/>
  <c r="AZ26" i="11"/>
  <c r="P13" i="11"/>
  <c r="Q13"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<sst xmlns="http://schemas.openxmlformats.org/spreadsheetml/2006/main" count="2682" uniqueCount="1193">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</sst>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Ru2mHRqRIJkpY9g5Fvc6Jr+iUdJv9om/ifC+xinUWHRNZ+N3agM5C+WyePb6Vn43fcW6vAqGwy0BIZZgtmvdw==" saltValue="vlF8lyVz3ABvTFYLwmhA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21</v>
      </c>
      <c r="F10" s="240">
        <f>IF(ISNUMBER(Datos!K10),Datos!K10," - ")</f>
        <v>20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5.4637681159420293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21</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901</v>
      </c>
      <c r="D17" s="239">
        <f>IF(ISNUMBER(IF(D_I="SI",Datos!I17,Datos!I17+Datos!AC17)),IF(D_I="SI",Datos!I17,Datos!I17+Datos!AC17)," - ")</f>
        <v>901</v>
      </c>
      <c r="E17" s="240">
        <f>IF(ISNUMBER(IF(D_I="SI",Datos!J17,Datos!J17+Datos!AD17)),IF(D_I="SI",Datos!J17,Datos!J17+Datos!AD17)," - ")</f>
        <v>3055</v>
      </c>
      <c r="F17" s="240">
        <f>IF(ISNUMBER(IF(D_I="SI",Datos!K17,Datos!K17+Datos!AE17)),IF(D_I="SI",Datos!K17,Datos!K17+Datos!AE17)," - ")</f>
        <v>3024</v>
      </c>
      <c r="G17" s="1390" t="str">
        <f>IF(Datos!E17&lt;&gt;"",Datos!E17,Datos!D17)</f>
        <v>04</v>
      </c>
      <c r="H17" s="241">
        <f>IF(ISNUMBER(IF(D_I="SI",Datos!L17,Datos!L17+Datos!AF17)),IF(D_I="SI",Datos!L17,Datos!L17+Datos!AF17)," - ")</f>
        <v>932</v>
      </c>
      <c r="I17" s="1400" t="str">
        <f>IF(ISNUMBER(Datos!AS17/Datos!BM17),Datos!AS17/Datos!BM17," - ")</f>
        <v xml:space="preserve"> - </v>
      </c>
      <c r="J17" s="1401">
        <f>IF(ISNUMBER(Datos!BY17/Datos!CN17),Datos!BY17/Datos!CN17," - ")</f>
        <v>0</v>
      </c>
      <c r="K17" s="244">
        <f t="shared" si="3"/>
        <v>3.4406215316315207E-2</v>
      </c>
      <c r="L17" s="1402">
        <f>IF(ISNUMBER(NºAsuntos!I17/NºAsuntos!G17),(NºAsuntos!I17/NºAsuntos!G17)*11," - ")</f>
        <v>3.39021164021164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308</v>
      </c>
      <c r="F18" s="240">
        <f>IF(ISNUMBER(IF(D_I="SI",Datos!K18,Datos!K18+Datos!AE18)),IF(D_I="SI",Datos!K18,Datos!K18+Datos!AE18)," - ")</f>
        <v>283</v>
      </c>
      <c r="G18" s="1390" t="str">
        <f>IF(Datos!E18&lt;&gt;"",Datos!E18,Datos!D18)</f>
        <v>37</v>
      </c>
      <c r="H18" s="241">
        <f>IF(ISNUMBER(IF(D_I="SI",Datos!L18,Datos!L18+Datos!AF18)),IF(D_I="SI",Datos!L18,Datos!L18+Datos!AF18)," - ")</f>
        <v>89</v>
      </c>
      <c r="I18" s="1400" t="str">
        <f>IF(ISNUMBER(Datos!AS18/Datos!BM18),Datos!AS18/Datos!BM18," - ")</f>
        <v xml:space="preserve"> - </v>
      </c>
      <c r="J18" s="1401" t="str">
        <f>IF(ISNUMBER((Datos!BY18+Datos!BZ18)/Datos!CN18),(Datos!BY18+Datos!BZ18)/Datos!CN18," - ")</f>
        <v xml:space="preserve"> - </v>
      </c>
      <c r="K18" s="244">
        <f t="shared" si="3"/>
        <v>0.390625</v>
      </c>
      <c r="L18" s="1402">
        <f>IF(ISNUMBER(NºAsuntos!I18/NºAsuntos!G18),(NºAsuntos!I18/NºAsuntos!G18)*11," - ")</f>
        <v>3.4593639575971733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965</v>
      </c>
      <c r="D23" s="1407">
        <f>SUBTOTAL(9,D16:D22)</f>
        <v>965</v>
      </c>
      <c r="E23" s="1408">
        <f>SUBTOTAL(9,E16:E22)</f>
        <v>3363</v>
      </c>
      <c r="F23" s="1408">
        <f>SUBTOTAL(9,F16:F22)</f>
        <v>3307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974</v>
      </c>
      <c r="D31" s="1435">
        <f>SUBTOTAL(9,D9:D30)</f>
        <v>974</v>
      </c>
      <c r="E31" s="1436">
        <f>SUBTOTAL(9,E9:E30)</f>
        <v>3384</v>
      </c>
      <c r="F31" s="1436">
        <f>SUBTOTAL(9,F9:F30)</f>
        <v>3327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mY9+22TUQ2HzABmpYx5CJh3+TFNfIhqHL2no44UldIeBPXBcZBXkSXI7ctS+VoUZiYHIROGqvelCplweGD1Mw==" saltValue="WkHBYGYVWMeVlI375Ir9N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ZUHX8F9mSvue6uZ+lKLlYDbd77q/zsTj39ksxHy2B+B9KyYYZNfwfert/p5/VurUzB13H5G+aMeGzgDRi8t3A==" saltValue="R11aPIiQ4l/Xh9xz6v6r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21</v>
      </c>
      <c r="K10" s="194">
        <v>20</v>
      </c>
      <c r="L10" s="194">
        <v>10</v>
      </c>
      <c r="M10" s="194">
        <v>16</v>
      </c>
      <c r="N10" s="194">
        <v>2</v>
      </c>
      <c r="O10" s="194">
        <v>1</v>
      </c>
      <c r="P10" s="194">
        <v>0</v>
      </c>
      <c r="Q10" s="194">
        <v>0</v>
      </c>
      <c r="R10" s="194">
        <v>0</v>
      </c>
      <c r="S10" s="194">
        <v>6</v>
      </c>
      <c r="T10" s="194">
        <v>19</v>
      </c>
      <c r="U10" s="194">
        <v>16</v>
      </c>
      <c r="V10" s="194">
        <v>9</v>
      </c>
      <c r="W10" s="194">
        <v>2</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19</v>
      </c>
      <c r="BA10" s="139">
        <f t="shared" si="0"/>
        <v>16</v>
      </c>
      <c r="BB10" s="139">
        <f t="shared" si="0"/>
        <v>9</v>
      </c>
      <c r="BC10" s="135">
        <f t="shared" si="0"/>
        <v>2</v>
      </c>
      <c r="BD10" s="136">
        <f>IF(ISNUMBER(BA10/AZ10),BA10/AZ10," - ")</f>
        <v>0.84210526315789469</v>
      </c>
      <c r="BE10" s="137">
        <f>IF(ISNUMBER(BB10/BA10),BB10/BA10, " - ")</f>
        <v>0.5625</v>
      </c>
      <c r="BF10" s="137">
        <f>IF(ISNUMBER(BC10/BA10),BC10/BA10, " - ")</f>
        <v>0.125</v>
      </c>
      <c r="BG10" s="209">
        <f>IF(ISNUMBER((AY10+AZ10)/BA10),(AY10+AZ10)/BA10," - ")</f>
        <v>1.5625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1221</v>
      </c>
      <c r="J12" s="196">
        <v>2805</v>
      </c>
      <c r="K12" s="196">
        <v>2686</v>
      </c>
      <c r="L12" s="196">
        <v>1388</v>
      </c>
      <c r="M12" s="196">
        <v>603</v>
      </c>
      <c r="N12" s="196">
        <v>1362</v>
      </c>
      <c r="O12" s="194">
        <v>1443</v>
      </c>
      <c r="P12" s="196">
        <v>768</v>
      </c>
      <c r="Q12" s="196">
        <v>500</v>
      </c>
      <c r="R12" s="196">
        <v>3192</v>
      </c>
      <c r="S12" s="196">
        <v>1107</v>
      </c>
      <c r="T12" s="196">
        <v>2459</v>
      </c>
      <c r="U12" s="196">
        <v>2348</v>
      </c>
      <c r="V12" s="196">
        <v>1221</v>
      </c>
      <c r="W12" s="196">
        <v>522</v>
      </c>
      <c r="X12" s="202">
        <v>1092</v>
      </c>
      <c r="Y12" s="204">
        <v>139</v>
      </c>
      <c r="Z12" s="194">
        <v>339</v>
      </c>
      <c r="AA12" s="194">
        <v>350</v>
      </c>
      <c r="AB12" s="194">
        <v>120</v>
      </c>
      <c r="AC12" s="196">
        <v>0</v>
      </c>
      <c r="AD12" s="196">
        <v>0</v>
      </c>
      <c r="AE12" s="196">
        <v>0</v>
      </c>
      <c r="AF12" s="202">
        <v>0</v>
      </c>
      <c r="AG12" s="215">
        <v>158</v>
      </c>
      <c r="AH12" s="196">
        <v>319</v>
      </c>
      <c r="AI12" s="196">
        <v>344</v>
      </c>
      <c r="AJ12" s="216">
        <v>139</v>
      </c>
      <c r="AK12" s="195">
        <v>0</v>
      </c>
      <c r="AL12" s="196">
        <v>0</v>
      </c>
      <c r="AM12" s="196">
        <v>0</v>
      </c>
      <c r="AN12" s="202">
        <v>0</v>
      </c>
      <c r="AO12" s="283">
        <v>3</v>
      </c>
      <c r="AP12" s="168">
        <v>3</v>
      </c>
      <c r="AQ12" s="168">
        <v>3</v>
      </c>
      <c r="AR12" s="167">
        <v>3</v>
      </c>
      <c r="AS12" s="381" t="s">
        <v>1075</v>
      </c>
      <c r="AT12" s="216"/>
      <c r="AU12" s="215"/>
      <c r="AV12" s="216"/>
      <c r="AW12" s="215"/>
      <c r="AX12" s="216"/>
      <c r="AY12" s="136">
        <f t="shared" si="1"/>
        <v>1265</v>
      </c>
      <c r="AZ12" s="137">
        <f t="shared" si="1"/>
        <v>2778</v>
      </c>
      <c r="BA12" s="137">
        <f t="shared" si="1"/>
        <v>2692</v>
      </c>
      <c r="BB12" s="137">
        <f t="shared" si="1"/>
        <v>1360</v>
      </c>
      <c r="BC12" s="135">
        <f>IF(ISNUMBER(X12),X12," - ")</f>
        <v>1092</v>
      </c>
      <c r="BD12" s="136">
        <f t="shared" si="2"/>
        <v>0.96904247660187182</v>
      </c>
      <c r="BE12" s="137">
        <f t="shared" si="3"/>
        <v>0.5052005943536404</v>
      </c>
      <c r="BF12" s="137">
        <f t="shared" si="4"/>
        <v>0.40564635958395245</v>
      </c>
      <c r="BG12" s="209">
        <f t="shared" si="5"/>
        <v>1.5018573551263001</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1230</v>
      </c>
      <c r="J14" s="197">
        <f t="shared" si="7"/>
        <v>2826</v>
      </c>
      <c r="K14" s="197">
        <f t="shared" si="7"/>
        <v>2706</v>
      </c>
      <c r="L14" s="197">
        <f t="shared" si="7"/>
        <v>1398</v>
      </c>
      <c r="M14" s="197">
        <f t="shared" si="7"/>
        <v>619</v>
      </c>
      <c r="N14" s="197">
        <f t="shared" si="7"/>
        <v>1364</v>
      </c>
      <c r="O14" s="197">
        <f t="shared" si="7"/>
        <v>1444</v>
      </c>
      <c r="P14" s="197">
        <f t="shared" si="7"/>
        <v>768</v>
      </c>
      <c r="Q14" s="197">
        <f t="shared" si="7"/>
        <v>500</v>
      </c>
      <c r="R14" s="197">
        <f t="shared" si="7"/>
        <v>3192</v>
      </c>
      <c r="S14" s="197">
        <f t="shared" si="7"/>
        <v>1113</v>
      </c>
      <c r="T14" s="197">
        <f t="shared" si="7"/>
        <v>2478</v>
      </c>
      <c r="U14" s="197">
        <f t="shared" si="7"/>
        <v>2364</v>
      </c>
      <c r="V14" s="197">
        <f t="shared" si="7"/>
        <v>1230</v>
      </c>
      <c r="W14" s="197">
        <f t="shared" si="7"/>
        <v>524</v>
      </c>
      <c r="X14" s="197">
        <f t="shared" si="7"/>
        <v>1098</v>
      </c>
      <c r="Y14" s="197">
        <f t="shared" si="7"/>
        <v>139</v>
      </c>
      <c r="Z14" s="197">
        <f t="shared" si="7"/>
        <v>339</v>
      </c>
      <c r="AA14" s="197">
        <f t="shared" si="7"/>
        <v>350</v>
      </c>
      <c r="AB14" s="197">
        <f t="shared" si="7"/>
        <v>120</v>
      </c>
      <c r="AC14" s="197">
        <f t="shared" si="7"/>
        <v>0</v>
      </c>
      <c r="AD14" s="197">
        <f t="shared" si="7"/>
        <v>0</v>
      </c>
      <c r="AE14" s="197">
        <f t="shared" si="7"/>
        <v>0</v>
      </c>
      <c r="AF14" s="197">
        <f>SUBTOTAL(9,AF9:AF13)</f>
        <v>0</v>
      </c>
      <c r="AG14" s="197">
        <f t="shared" ref="AG14:AT14" si="8">SUBTOTAL(9,AG8:AG13)</f>
        <v>158</v>
      </c>
      <c r="AH14" s="197">
        <f t="shared" si="8"/>
        <v>319</v>
      </c>
      <c r="AI14" s="197">
        <f t="shared" si="8"/>
        <v>344</v>
      </c>
      <c r="AJ14" s="197">
        <f t="shared" si="8"/>
        <v>139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1271</v>
      </c>
      <c r="AZ14" s="197">
        <f>SUBTOTAL(9,AZ8:AZ13)</f>
        <v>2797</v>
      </c>
      <c r="BA14" s="197">
        <f>SUBTOTAL(9,BA8:BA13)</f>
        <v>2708</v>
      </c>
      <c r="BB14" s="197">
        <f>SUBTOTAL(9,BB8:BB13)</f>
        <v>1369</v>
      </c>
      <c r="BC14" s="197">
        <f>SUBTOTAL(9,BC8:BC13)</f>
        <v>1094</v>
      </c>
      <c r="BD14" s="219">
        <f>IF(ISNUMBER(BA14/AZ14),BA14/AZ14," - ")</f>
        <v>0.96818019306399716</v>
      </c>
      <c r="BE14" s="220">
        <f>IF(ISNUMBER(BB14/BA14),BB14/BA14, " - ")</f>
        <v>0.50553914327917282</v>
      </c>
      <c r="BF14" s="220">
        <f>IF(ISNUMBER(BC14/BA14),BC14/BA14, " - ")</f>
        <v>0.40398818316100443</v>
      </c>
      <c r="BG14" s="221">
        <f>IF(ISNUMBER((AY14+AZ14)/BA14),(AY14+AZ14)/BA14," - ")</f>
        <v>1.5022156573116692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901</v>
      </c>
      <c r="J17" s="196">
        <v>3055</v>
      </c>
      <c r="K17" s="196">
        <v>3024</v>
      </c>
      <c r="L17" s="196">
        <v>932</v>
      </c>
      <c r="M17" s="196">
        <v>498</v>
      </c>
      <c r="N17" s="196">
        <v>1680</v>
      </c>
      <c r="O17" s="194">
        <v>39</v>
      </c>
      <c r="P17" s="196">
        <v>137</v>
      </c>
      <c r="Q17" s="196">
        <v>123</v>
      </c>
      <c r="R17" s="196">
        <v>150</v>
      </c>
      <c r="S17" s="196">
        <v>871</v>
      </c>
      <c r="T17" s="196">
        <v>3077</v>
      </c>
      <c r="U17" s="196">
        <v>3074</v>
      </c>
      <c r="V17" s="196">
        <v>901</v>
      </c>
      <c r="W17" s="196">
        <v>500</v>
      </c>
      <c r="X17" s="202">
        <v>1577</v>
      </c>
      <c r="Y17" s="215">
        <v>0</v>
      </c>
      <c r="Z17" s="196">
        <v>0</v>
      </c>
      <c r="AA17" s="196">
        <v>0</v>
      </c>
      <c r="AB17" s="196">
        <v>0</v>
      </c>
      <c r="AC17" s="196">
        <v>0</v>
      </c>
      <c r="AD17" s="196">
        <v>4</v>
      </c>
      <c r="AE17" s="196">
        <v>4</v>
      </c>
      <c r="AF17" s="202">
        <v>0</v>
      </c>
      <c r="AG17" s="215">
        <v>0</v>
      </c>
      <c r="AH17" s="196">
        <v>0</v>
      </c>
      <c r="AI17" s="196">
        <v>0</v>
      </c>
      <c r="AJ17" s="216">
        <v>0</v>
      </c>
      <c r="AK17" s="195">
        <v>1</v>
      </c>
      <c r="AL17" s="196">
        <v>14</v>
      </c>
      <c r="AM17" s="196">
        <v>15</v>
      </c>
      <c r="AN17" s="202">
        <v>0</v>
      </c>
      <c r="AO17" s="283">
        <v>3</v>
      </c>
      <c r="AP17" s="168">
        <v>3</v>
      </c>
      <c r="AQ17" s="168">
        <v>3</v>
      </c>
      <c r="AR17" s="168">
        <v>3</v>
      </c>
      <c r="AS17" s="381" t="s">
        <v>650</v>
      </c>
      <c r="AT17" s="216"/>
      <c r="AU17" s="215"/>
      <c r="AV17" s="216"/>
      <c r="AW17" s="215"/>
      <c r="AX17" s="216"/>
      <c r="AY17" s="136">
        <f t="shared" si="10"/>
        <v>871</v>
      </c>
      <c r="AZ17" s="137">
        <f t="shared" si="10"/>
        <v>3077</v>
      </c>
      <c r="BA17" s="137">
        <f t="shared" si="10"/>
        <v>3074</v>
      </c>
      <c r="BB17" s="137">
        <f t="shared" si="10"/>
        <v>901</v>
      </c>
      <c r="BC17" s="135">
        <f>IF(ISNUMBER(W17),W17," - ")</f>
        <v>500</v>
      </c>
      <c r="BD17" s="136">
        <f t="shared" ref="BD17:BD22" si="12">IF(ISNUMBER(BA17/AZ17),BA17/AZ17," - ")</f>
        <v>0.99902502437439067</v>
      </c>
      <c r="BE17" s="137">
        <f t="shared" ref="BE17:BE22" si="13">IF(ISNUMBER(BB17/BA17),BB17/BA17, " - ")</f>
        <v>0.29310344827586204</v>
      </c>
      <c r="BF17" s="137">
        <f t="shared" ref="BF17:BF22" si="14">IF(ISNUMBER(BC17/BA17),BC17/BA17, " - ")</f>
        <v>0.16265452179570591</v>
      </c>
      <c r="BG17" s="209">
        <f t="shared" si="11"/>
        <v>1.2843201040988939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308</v>
      </c>
      <c r="K18" s="196">
        <v>283</v>
      </c>
      <c r="L18" s="196">
        <v>89</v>
      </c>
      <c r="M18" s="196">
        <v>61</v>
      </c>
      <c r="N18" s="196">
        <v>134</v>
      </c>
      <c r="O18" s="196">
        <v>0</v>
      </c>
      <c r="P18" s="196">
        <v>5</v>
      </c>
      <c r="Q18" s="196">
        <v>6</v>
      </c>
      <c r="R18" s="196">
        <v>0</v>
      </c>
      <c r="S18" s="196">
        <v>112</v>
      </c>
      <c r="T18" s="196">
        <v>204</v>
      </c>
      <c r="U18" s="196">
        <v>282</v>
      </c>
      <c r="V18" s="196">
        <v>64</v>
      </c>
      <c r="W18" s="196">
        <v>38</v>
      </c>
      <c r="X18" s="202">
        <v>213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112</v>
      </c>
      <c r="AZ18" s="139">
        <f t="shared" si="15"/>
        <v>204</v>
      </c>
      <c r="BA18" s="139">
        <f t="shared" si="15"/>
        <v>282</v>
      </c>
      <c r="BB18" s="139">
        <f t="shared" si="15"/>
        <v>64</v>
      </c>
      <c r="BC18" s="135">
        <f>IF(ISNUMBER(W18),W18," - ")</f>
        <v>38</v>
      </c>
      <c r="BD18" s="136">
        <f>IF(ISNUMBER(BA18/AZ18),BA18/AZ18," - ")</f>
        <v>1.3823529411764706</v>
      </c>
      <c r="BE18" s="137">
        <f>IF(ISNUMBER(BB18/BA18),BB18/BA18, " - ")</f>
        <v>0.22695035460992907</v>
      </c>
      <c r="BF18" s="137">
        <f>IF(ISNUMBER(BC18/BA18),BC18/BA18, " - ")</f>
        <v>0.13475177304964539</v>
      </c>
      <c r="BG18" s="209">
        <f>IF(ISNUMBER((AY18+AZ18)/BA18),(AY18+AZ18)/BA18," - ")</f>
        <v>1.1205673758865249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965</v>
      </c>
      <c r="J23" s="197">
        <f t="shared" si="21"/>
        <v>3363</v>
      </c>
      <c r="K23" s="197">
        <f t="shared" si="21"/>
        <v>3307</v>
      </c>
      <c r="L23" s="197">
        <f t="shared" si="21"/>
        <v>1021</v>
      </c>
      <c r="M23" s="197">
        <f t="shared" si="21"/>
        <v>559</v>
      </c>
      <c r="N23" s="197">
        <f t="shared" si="21"/>
        <v>1814</v>
      </c>
      <c r="O23" s="197">
        <f t="shared" si="21"/>
        <v>39</v>
      </c>
      <c r="P23" s="197">
        <f t="shared" si="21"/>
        <v>142</v>
      </c>
      <c r="Q23" s="197">
        <f t="shared" si="21"/>
        <v>129</v>
      </c>
      <c r="R23" s="197">
        <f t="shared" si="21"/>
        <v>150</v>
      </c>
      <c r="S23" s="197">
        <f t="shared" si="21"/>
        <v>983</v>
      </c>
      <c r="T23" s="197">
        <f t="shared" si="21"/>
        <v>3281</v>
      </c>
      <c r="U23" s="197">
        <f t="shared" si="21"/>
        <v>3356</v>
      </c>
      <c r="V23" s="197">
        <f t="shared" si="21"/>
        <v>965</v>
      </c>
      <c r="W23" s="197">
        <f t="shared" si="21"/>
        <v>538</v>
      </c>
      <c r="X23" s="197">
        <f t="shared" si="21"/>
        <v>1790</v>
      </c>
      <c r="Y23" s="197">
        <f t="shared" si="21"/>
        <v>0</v>
      </c>
      <c r="Z23" s="197">
        <f t="shared" si="21"/>
        <v>0</v>
      </c>
      <c r="AA23" s="197">
        <f t="shared" si="21"/>
        <v>0</v>
      </c>
      <c r="AB23" s="197">
        <f t="shared" si="21"/>
        <v>0</v>
      </c>
      <c r="AC23" s="197">
        <f t="shared" si="21"/>
        <v>0</v>
      </c>
      <c r="AD23" s="197">
        <f t="shared" si="21"/>
        <v>4</v>
      </c>
      <c r="AE23" s="197">
        <f t="shared" si="21"/>
        <v>4</v>
      </c>
      <c r="AF23" s="197">
        <f t="shared" si="21"/>
        <v>0</v>
      </c>
      <c r="AG23" s="197">
        <f t="shared" si="21"/>
        <v>0</v>
      </c>
      <c r="AH23" s="197">
        <f t="shared" si="21"/>
        <v>0</v>
      </c>
      <c r="AI23" s="197">
        <f t="shared" si="21"/>
        <v>0</v>
      </c>
      <c r="AJ23" s="197">
        <f t="shared" si="21"/>
        <v>0</v>
      </c>
      <c r="AK23" s="197">
        <f t="shared" si="21"/>
        <v>1</v>
      </c>
      <c r="AL23" s="197">
        <f t="shared" si="21"/>
        <v>14</v>
      </c>
      <c r="AM23" s="197">
        <f t="shared" si="21"/>
        <v>15</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983</v>
      </c>
      <c r="AZ23" s="197">
        <f>SUBTOTAL(9,AZ15:AZ22)</f>
        <v>3281</v>
      </c>
      <c r="BA23" s="197">
        <f>SUBTOTAL(9,BA15:BA22)</f>
        <v>3356</v>
      </c>
      <c r="BB23" s="197">
        <f>SUBTOTAL(9,BB15:BB22)</f>
        <v>965</v>
      </c>
      <c r="BC23" s="197">
        <f>SUBTOTAL(9,BC15:BC22)</f>
        <v>538</v>
      </c>
      <c r="BD23" s="219">
        <f>IF(ISNUMBER(BA23/AZ23),BA23/AZ23," - ")</f>
        <v>1.022858884486437</v>
      </c>
      <c r="BE23" s="220">
        <f>IF(ISNUMBER(BB23/BA23),BB23/BA23, " - ")</f>
        <v>0.28754469606674615</v>
      </c>
      <c r="BF23" s="220">
        <f>IF(ISNUMBER(BC23/BA23),BC23/BA23, " - ")</f>
        <v>0.1603098927294398</v>
      </c>
      <c r="BG23" s="221">
        <f>IF(ISNUMBER((AY23+AZ23)/BA23),(AY23+AZ23)/BA23," - ")</f>
        <v>1.270560190703218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2195</v>
      </c>
      <c r="J31" s="144">
        <f t="shared" si="36"/>
        <v>6189</v>
      </c>
      <c r="K31" s="144">
        <f t="shared" si="36"/>
        <v>6013</v>
      </c>
      <c r="L31" s="144">
        <f t="shared" si="36"/>
        <v>2419</v>
      </c>
      <c r="M31" s="144">
        <f t="shared" si="36"/>
        <v>1178</v>
      </c>
      <c r="N31" s="144">
        <f t="shared" si="36"/>
        <v>3178</v>
      </c>
      <c r="O31" s="144">
        <f t="shared" si="36"/>
        <v>1483</v>
      </c>
      <c r="P31" s="144">
        <f t="shared" si="36"/>
        <v>910</v>
      </c>
      <c r="Q31" s="144">
        <f t="shared" si="36"/>
        <v>629</v>
      </c>
      <c r="R31" s="144">
        <f t="shared" si="36"/>
        <v>3342</v>
      </c>
      <c r="S31" s="144">
        <f t="shared" si="36"/>
        <v>2096</v>
      </c>
      <c r="T31" s="144">
        <f t="shared" si="36"/>
        <v>5759</v>
      </c>
      <c r="U31" s="144">
        <f t="shared" si="36"/>
        <v>5720</v>
      </c>
      <c r="V31" s="144">
        <f t="shared" si="36"/>
        <v>2195</v>
      </c>
      <c r="W31" s="144">
        <f t="shared" si="36"/>
        <v>1062</v>
      </c>
      <c r="X31" s="144">
        <f t="shared" si="36"/>
        <v>2888</v>
      </c>
      <c r="Y31" s="144">
        <f t="shared" si="36"/>
        <v>139</v>
      </c>
      <c r="Z31" s="144">
        <f t="shared" si="36"/>
        <v>339</v>
      </c>
      <c r="AA31" s="144">
        <f t="shared" si="36"/>
        <v>350</v>
      </c>
      <c r="AB31" s="144">
        <f t="shared" si="36"/>
        <v>120</v>
      </c>
      <c r="AC31" s="144">
        <f t="shared" si="36"/>
        <v>0</v>
      </c>
      <c r="AD31" s="144">
        <f t="shared" si="36"/>
        <v>4</v>
      </c>
      <c r="AE31" s="144">
        <f t="shared" si="36"/>
        <v>4</v>
      </c>
      <c r="AF31" s="144">
        <f t="shared" si="36"/>
        <v>0</v>
      </c>
      <c r="AG31" s="144">
        <f t="shared" si="36"/>
        <v>158</v>
      </c>
      <c r="AH31" s="144">
        <f t="shared" si="36"/>
        <v>319</v>
      </c>
      <c r="AI31" s="144">
        <f t="shared" si="36"/>
        <v>344</v>
      </c>
      <c r="AJ31" s="144">
        <f t="shared" si="36"/>
        <v>139</v>
      </c>
      <c r="AK31" s="144">
        <f t="shared" si="36"/>
        <v>1</v>
      </c>
      <c r="AL31" s="144">
        <f t="shared" si="36"/>
        <v>14</v>
      </c>
      <c r="AM31" s="144">
        <f t="shared" si="36"/>
        <v>15</v>
      </c>
      <c r="AN31" s="224">
        <f t="shared" si="36"/>
        <v>0</v>
      </c>
      <c r="AO31" s="225">
        <v>4</v>
      </c>
      <c r="AP31" s="225">
        <v>3</v>
      </c>
      <c r="AQ31" s="225">
        <v>3</v>
      </c>
      <c r="AR31" s="225">
        <v>3</v>
      </c>
      <c r="AS31" s="166">
        <f t="shared" si="36"/>
        <v>0</v>
      </c>
      <c r="AT31" s="166">
        <f t="shared" si="36"/>
        <v>0</v>
      </c>
      <c r="AU31" s="225"/>
      <c r="AV31" s="226"/>
      <c r="AW31" s="225"/>
      <c r="AX31" s="226"/>
      <c r="AY31" s="143">
        <f>SUBTOTAL(9,AY9:AY30)</f>
        <v>2254</v>
      </c>
      <c r="AZ31" s="144">
        <f>SUBTOTAL(9,AZ9:AZ30)</f>
        <v>6078</v>
      </c>
      <c r="BA31" s="144">
        <f>SUBTOTAL(9,BA9:BA30)</f>
        <v>6064</v>
      </c>
      <c r="BB31" s="144">
        <f>SUBTOTAL(9,BB9:BB30)</f>
        <v>2334</v>
      </c>
      <c r="BC31" s="145">
        <f>SUBTOTAL(9,BC9:BC30)</f>
        <v>1632</v>
      </c>
      <c r="BD31" s="227">
        <f>IF(ISNUMBER(BA31/AZ31),BA31/AZ31," - ")</f>
        <v>0.99769661072721294</v>
      </c>
      <c r="BE31" s="224">
        <f>IF(ISNUMBER(BB31/BA31),BB31/BA31, " - ")</f>
        <v>0.38489445910290238</v>
      </c>
      <c r="BF31" s="224">
        <f>IF(ISNUMBER(BC31/BA31),BC31/BA31, " - ")</f>
        <v>0.26912928759894461</v>
      </c>
      <c r="BG31" s="145">
        <f>IF(ISNUMBER((AY31+AZ31)/BA31),(AY31+AZ31)/BA31," - ")</f>
        <v>1.3740105540897098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tZ6ApwJSQsXVSwMWThlUvumeldHNWDeKOA2RXlkFqILYb4vUlHYziGE4LhxmXNGToXj7aDm2Txt/lpFilrn3w==" saltValue="bcP/oV5ZFYVrMVuq+EKDl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P3B1EZCqkVD80i5wCp16zKBUP+v/QycJo96nbUffs8Ad1Vk2ZSbfi9zqrgvTsfMyGjc9GElUH46AiBTvQ2WA==" saltValue="ygufEsFAHjJQEnsWzaTl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PICASSENT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2</v>
      </c>
      <c r="BE10" s="693" t="str">
        <f>IF(ISNUMBER(Datos!BW10),Datos!BW10," - ")</f>
        <v xml:space="preserve"> - </v>
      </c>
      <c r="BF10" s="762" t="str">
        <f>IF(ISNUMBER(Datos!BX10),Datos!BX10," - ")</f>
        <v xml:space="preserve"> - </v>
      </c>
      <c r="BG10" s="763">
        <f>IF(ISNUMBER(Datos!K10/Datos!J10),Datos!K10/Datos!J10," - ")</f>
        <v>0.95238095238095233</v>
      </c>
      <c r="BH10" s="764">
        <f>IF(ISNUMBER(((Datos!L10/Datos!K10)*11)/factor_trimestre),((Datos!L10/Datos!K10)*11)/factor_trimestre," - ")</f>
        <v>5.5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339</v>
      </c>
      <c r="O12" s="549"/>
      <c r="P12" s="549"/>
      <c r="Q12" s="547">
        <f>IF(ISNUMBER(Datos!P12),Datos!P12,0)</f>
        <v>768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500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120</v>
      </c>
      <c r="AI12" s="549" t="str">
        <f>IF(ISNUMBER(Datos!CD12),Datos!CD12,"-")</f>
        <v>-</v>
      </c>
      <c r="AJ12" s="549" t="str">
        <f>IF(ISNUMBER(Datos!EN12),Datos!EN12," - ")</f>
        <v xml:space="preserve"> - </v>
      </c>
      <c r="AK12" s="549"/>
      <c r="AL12" s="550"/>
      <c r="AM12" s="766">
        <f>IF(ISNUMBER(Datos!R12),Datos!R12," - ")</f>
        <v>3192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603</v>
      </c>
      <c r="BD12" s="693">
        <f>IF(ISNUMBER(Datos!N12),Datos!N12," - ")</f>
        <v>1362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0.96564885496183206</v>
      </c>
      <c r="BH12" s="764">
        <f>IF(ISNUMBER(((IF(J_V="SI",Datos!L12/Datos!K12,(Datos!L12+Datos!AB12)/(Datos!K12+Datos!AA12)))*11)/factor_trimestre),((IF(J_V="SI",Datos!L12/Datos!K12,(Datos!L12+Datos!AB12)/(Datos!K12+Datos!AA12)))*11)/factor_trimestre," - ")</f>
        <v>5.4637681159420293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9.1655266757865936E-2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339</v>
      </c>
      <c r="O14" s="1199">
        <f t="shared" si="1"/>
        <v>0</v>
      </c>
      <c r="P14" s="1199">
        <f t="shared" si="1"/>
        <v>0</v>
      </c>
      <c r="Q14" s="1198">
        <f t="shared" si="1"/>
        <v>768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500</v>
      </c>
      <c r="AD14" s="1198">
        <f t="shared" si="2"/>
        <v>0</v>
      </c>
      <c r="AE14" s="1198">
        <f t="shared" si="2"/>
        <v>0</v>
      </c>
      <c r="AF14" s="1198">
        <f t="shared" si="2"/>
        <v>10</v>
      </c>
      <c r="AG14" s="1198">
        <f t="shared" si="2"/>
        <v>0</v>
      </c>
      <c r="AH14" s="1198">
        <f t="shared" si="2"/>
        <v>120</v>
      </c>
      <c r="AI14" s="1198">
        <f t="shared" si="2"/>
        <v>0</v>
      </c>
      <c r="AJ14" s="1198">
        <f t="shared" si="2"/>
        <v>0</v>
      </c>
      <c r="AK14" s="1198">
        <f t="shared" si="2"/>
        <v>0</v>
      </c>
      <c r="AL14" s="1198">
        <f t="shared" si="2"/>
        <v>0</v>
      </c>
      <c r="AM14" s="1198">
        <f t="shared" si="2"/>
        <v>3192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619</v>
      </c>
      <c r="BD14" s="1198">
        <f t="shared" si="2"/>
        <v>1364</v>
      </c>
      <c r="BE14" s="1198">
        <f t="shared" si="2"/>
        <v>0</v>
      </c>
      <c r="BF14" s="1198">
        <f t="shared" si="2"/>
        <v>0</v>
      </c>
      <c r="BG14" s="1198">
        <f>IF(ISNUMBER(Datos!K14/Datos!J14),Datos!K14/Datos!J14," - ")</f>
        <v>0.9575371549893843</v>
      </c>
      <c r="BH14" s="1202">
        <f>IF(ISNUMBER(((Datos!L14/Datos!K14)*11)/factor_trimestre),((Datos!L14/Datos!K14)*11)/factor_trimestre," - ")</f>
        <v>5.6829268292682924</v>
      </c>
      <c r="BI14" s="1198">
        <f>IF(ISNUMBER('Resol  Asuntos'!D14/NºAsuntos!G14),'Resol  Asuntos'!D14/NºAsuntos!G14," - ")</f>
        <v>0.2025523560209424</v>
      </c>
      <c r="BJ14" s="1198" t="str">
        <f>IF(ISNUMBER(Datos!CI14/Datos!CJ14),Datos!CI14/Datos!CJ14," - ")</f>
        <v xml:space="preserve"> - </v>
      </c>
      <c r="BK14" s="1198">
        <f>SUBTOTAL(9,BK8:BK13)</f>
        <v>0</v>
      </c>
      <c r="BL14" s="1198">
        <f>IF(ISNUMBER((I14-AB14+L14)/(F14)),(I14-AB14+L14)/(F14)," - ")</f>
        <v>-2.2222222222222223</v>
      </c>
      <c r="BM14" s="1203">
        <f>SUBTOTAL(9,BM9:BM13)</f>
        <v>9.1655266757865936E-2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901</v>
      </c>
      <c r="G17" s="743">
        <f>IF(ISNUMBER(IF(D_I="SI",Datos!I17,Datos!I17+Datos!AC17)),IF(D_I="SI",Datos!I17,Datos!I17+Datos!AC17)," - ")</f>
        <v>901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3024</v>
      </c>
      <c r="AC17" s="240">
        <f>IF(ISNUMBER(Datos!Q17),Datos!Q17," - ")</f>
        <v>123</v>
      </c>
      <c r="AD17" s="374"/>
      <c r="AE17" s="562"/>
      <c r="AF17" s="741">
        <f>IF(ISNUMBER(IF(D_I="SI",Datos!L17,Datos!L17+Datos!AF17)),IF(D_I="SI",Datos!L17,Datos!L17+Datos!AF17)," - ")</f>
        <v>932</v>
      </c>
      <c r="AG17" s="374"/>
      <c r="AH17" s="374"/>
      <c r="AI17" s="374"/>
      <c r="AJ17" s="549"/>
      <c r="AK17" s="374"/>
      <c r="AL17" s="545"/>
      <c r="AM17" s="375">
        <f>IF(ISNUMBER(Datos!R17),Datos!R17," - ")</f>
        <v>150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498</v>
      </c>
      <c r="BD17" s="243">
        <f>IF(ISNUMBER(Datos!N17),Datos!N17," - ")</f>
        <v>1680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0.98985270049099838</v>
      </c>
      <c r="BH17" s="764">
        <f>IF(ISNUMBER(((IF(D_I="SI",Datos!L17/Datos!K17,(Datos!L17+Datos!AF17)/(Datos!K17+Datos!AE17)))*11)/factor_trimestre),((IF(D_I="SI",Datos!L17/Datos!K17,(Datos!L17+Datos!AF17)/(Datos!K17+Datos!AE17)))*11)/factor_trimestre," - ")</f>
        <v>3.39021164021164</v>
      </c>
      <c r="BI17" s="266">
        <f>IF(ISNUMBER('Resol  Asuntos'!D17/NºAsuntos!G17),'Resol  Asuntos'!D17/NºAsuntos!G17," - ")</f>
        <v>0.16468253968253968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283</v>
      </c>
      <c r="AC18" s="547">
        <f>IF(ISNUMBER(Datos!Q18),Datos!Q18," - ")</f>
        <v>6</v>
      </c>
      <c r="AD18" s="549"/>
      <c r="AE18" s="562"/>
      <c r="AF18" s="551">
        <f>IF(ISNUMBER(Datos!L18),Datos!L18,"-")</f>
        <v>89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134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0.91883116883116878</v>
      </c>
      <c r="BH18" s="764">
        <f>IF(ISNUMBER(((IF(D_I="SI",Datos!L18/Datos!K18,(Datos!L18+Datos!AF18)/(Datos!K18+Datos!AE18)))*11)/factor_trimestre),((IF(D_I="SI",Datos!L18/Datos!K18,(Datos!L18+Datos!AF18)/(Datos!K18+Datos!AE18)))*11)/factor_trimestre," - ")</f>
        <v>3.4593639575971733</v>
      </c>
      <c r="BI18" s="763">
        <f>IF(ISNUMBER('Resol  Asuntos'!D18/NºAsuntos!G18),'Resol  Asuntos'!D18/NºAsuntos!G18," - ")</f>
        <v>0.21554770318021202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901</v>
      </c>
      <c r="G23" s="1197">
        <f>SUBTOTAL(9,G16:G22)</f>
        <v>965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3307</v>
      </c>
      <c r="AC23" s="1198">
        <f t="shared" si="5"/>
        <v>129</v>
      </c>
      <c r="AD23" s="1198">
        <f t="shared" si="5"/>
        <v>0</v>
      </c>
      <c r="AE23" s="1198">
        <f t="shared" si="5"/>
        <v>0</v>
      </c>
      <c r="AF23" s="1198">
        <f t="shared" si="5"/>
        <v>1021</v>
      </c>
      <c r="AG23" s="1198">
        <f t="shared" si="5"/>
        <v>0</v>
      </c>
      <c r="AH23" s="1198">
        <f t="shared" si="5"/>
        <v>0</v>
      </c>
      <c r="AI23" s="1198">
        <f t="shared" si="5"/>
        <v>0</v>
      </c>
      <c r="AJ23" s="1198">
        <f t="shared" si="5"/>
        <v>0</v>
      </c>
      <c r="AK23" s="1198">
        <f t="shared" si="5"/>
        <v>0</v>
      </c>
      <c r="AL23" s="1198">
        <f t="shared" si="5"/>
        <v>0</v>
      </c>
      <c r="AM23" s="1198">
        <f t="shared" si="5"/>
        <v>150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559</v>
      </c>
      <c r="BD23" s="1198">
        <f t="shared" si="5"/>
        <v>1814</v>
      </c>
      <c r="BE23" s="1198">
        <f t="shared" si="5"/>
        <v>0</v>
      </c>
      <c r="BF23" s="1198">
        <f t="shared" si="5"/>
        <v>0</v>
      </c>
      <c r="BG23" s="1198">
        <f>IF(ISNUMBER(Datos!K23/Datos!J23),Datos!K23/Datos!J23," - ")</f>
        <v>0.98334820101100207</v>
      </c>
      <c r="BH23" s="1202">
        <f>IF(ISNUMBER(((Datos!L23/Datos!K23)*11)/factor_trimestre),((Datos!L23/Datos!K23)*11)/factor_trimestre," - ")</f>
        <v>3.3961294224372542</v>
      </c>
      <c r="BI23" s="1198">
        <f>SUBTOTAL(9,BI16:BI22)</f>
        <v>0.3802302428627517</v>
      </c>
      <c r="BJ23" s="1198">
        <f>SUBTOTAL(9,BJ16:BJ22)</f>
        <v>0</v>
      </c>
      <c r="BK23" s="1198">
        <f>SUBTOTAL(9,BK16:BK22)</f>
        <v>0</v>
      </c>
      <c r="BL23" s="1198">
        <f>IF(ISNUMBER((I23-AB23+L23)/(F23)),(I23-AB23+L23)/(F23)," - ")</f>
        <v>-3.6703662597114319</v>
      </c>
      <c r="BM23" s="1205">
        <f>IF(ISNUMBER((Datos!P23-Datos!Q23)/(Datos!R23-Datos!P23+Datos!Q23)),(Datos!P23-Datos!Q23)/(Datos!R23-Datos!P23+Datos!Q23)," - ")</f>
        <v>9.4890510948905105E-2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910</v>
      </c>
      <c r="G31" s="1117">
        <f t="shared" si="18"/>
        <v>974</v>
      </c>
      <c r="H31" s="1119">
        <f t="shared" si="18"/>
        <v>0</v>
      </c>
      <c r="I31" s="1117">
        <f t="shared" si="18"/>
        <v>0</v>
      </c>
      <c r="J31" s="1119">
        <f t="shared" si="18"/>
        <v>0</v>
      </c>
      <c r="K31" s="1119">
        <f t="shared" si="18"/>
        <v>0</v>
      </c>
      <c r="L31" s="1180">
        <f t="shared" si="18"/>
        <v>0</v>
      </c>
      <c r="M31" s="1180">
        <f t="shared" si="18"/>
        <v>0</v>
      </c>
      <c r="N31" s="1180">
        <f t="shared" si="18"/>
        <v>339</v>
      </c>
      <c r="O31" s="1180">
        <f t="shared" si="18"/>
        <v>0</v>
      </c>
      <c r="P31" s="1180">
        <f t="shared" si="18"/>
        <v>0</v>
      </c>
      <c r="Q31" s="1119">
        <f t="shared" si="18"/>
        <v>910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3327</v>
      </c>
      <c r="AC31" s="1118">
        <f t="shared" si="19"/>
        <v>629</v>
      </c>
      <c r="AD31" s="1118">
        <f t="shared" si="19"/>
        <v>0</v>
      </c>
      <c r="AE31" s="1118">
        <f t="shared" si="19"/>
        <v>0</v>
      </c>
      <c r="AF31" s="1125">
        <f t="shared" si="19"/>
        <v>1031</v>
      </c>
      <c r="AG31" s="1125">
        <f t="shared" si="19"/>
        <v>0</v>
      </c>
      <c r="AH31" s="1125">
        <f t="shared" si="19"/>
        <v>120</v>
      </c>
      <c r="AI31" s="1125">
        <f t="shared" si="19"/>
        <v>0</v>
      </c>
      <c r="AJ31" s="1118">
        <f t="shared" si="19"/>
        <v>0</v>
      </c>
      <c r="AK31" s="1125">
        <f t="shared" si="19"/>
        <v>0</v>
      </c>
      <c r="AL31" s="1125">
        <f t="shared" si="19"/>
        <v>0</v>
      </c>
      <c r="AM31" s="1125">
        <f t="shared" si="19"/>
        <v>3342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1178</v>
      </c>
      <c r="BD31" s="1117">
        <f t="shared" si="19"/>
        <v>3178</v>
      </c>
      <c r="BE31" s="1117">
        <f t="shared" si="19"/>
        <v>0</v>
      </c>
      <c r="BF31" s="1127">
        <f t="shared" si="19"/>
        <v>0</v>
      </c>
      <c r="BG31" s="1223">
        <f>IF(ISNUMBER(Datos!K31/Datos!J31),Datos!K31/Datos!J31," - ")</f>
        <v>0.97156244950719017</v>
      </c>
      <c r="BH31" s="1223">
        <f>IF(ISNUMBER(((Datos!L31/Datos!K31)*11)/factor_trimestre),((Datos!L31/Datos!K31)*11)/factor_trimestre," - ")</f>
        <v>4.4252453018460001</v>
      </c>
      <c r="BI31" s="1103">
        <f>IF(ISNUMBER(Datos!J31/Datos!I31),Datos!J31/Datos!I31," - ")</f>
        <v>2.8195899772209567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-3.6560439560439559</v>
      </c>
      <c r="BM31" s="1188">
        <f>IF(ISNUMBER((Datos!P31-Datos!Q31+R31)/(Datos!R31-Datos!P31+Datos!Q31-R31)),(Datos!P31-Datos!Q31+R31)/(Datos!R31-Datos!P31+Datos!Q31-R31)," - ")</f>
        <v>9.1800065338124792E-2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462.96810545292072</v>
      </c>
      <c r="G33" s="674">
        <f>IF(ISNUMBER(STDEV(G8:G30)),STDEV(G8:G30),"-")</f>
        <v>448.17842960355063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1518.5855103947727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296.98244296350487</v>
      </c>
      <c r="BD33" s="673"/>
      <c r="BE33" s="673">
        <f>IF(ISNUMBER(STDEV(BE8:BE30)),STDEV(BE8:BE30),"-")</f>
        <v>0</v>
      </c>
      <c r="BF33" s="678">
        <f>IF(ISNUMBER(STDEV(BF8:BF30)),STDEV(BF8:BF30),"-")</f>
        <v>0</v>
      </c>
      <c r="BG33" s="1052">
        <f>IF(ISNUMBER(STDEV(BG8:BG30)),STDEV(BG8:BG30),"-")</f>
        <v>2.5367679102232074E-2</v>
      </c>
      <c r="BH33" s="1058">
        <f>IF(ISNUMBER(STDEV(BH8:BH30)),STDEV(BH8:BH30),"-")</f>
        <v>1.1712659019267857</v>
      </c>
      <c r="BI33" s="273">
        <f>IF(ISNUMBER(STDEV(BI8:BI30)),STDEV(BI8:BI30),"-")</f>
        <v>9.5455421353838457E-2</v>
      </c>
      <c r="BJ33" s="244" t="str">
        <f>IF(ISNUMBER(BL33/BM33),BL33/BM33," - ")</f>
        <v xml:space="preserve"> - </v>
      </c>
      <c r="BK33" s="709"/>
      <c r="BL33" s="681">
        <f>IF(ISNUMBER(STDEV(BL8:BL30)),STDEV(BL8:BL30),"-")</f>
        <v>1.0239924690434892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O8g69P2uAO+9SIljCnU7q0JJtShqttmPRdwDMGJefcHC3cU+zvkF2oLA1oDGZAFYAsVezbrD+mckGeJNBndeQ==" saltValue="gt/uCDrvnOITJNJlHNCw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PICASSENT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16</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500</v>
      </c>
      <c r="AA12" s="551" t="str">
        <f>IF(ISNUMBER(IF(J_V="SI",Datos!L12,Datos!L12+Datos!AB12)-IF(Monitorios="SI",Datos!CD12,0)),
                          IF(J_V="SI",Datos!L12,Datos!L12+Datos!AB12)-IF(Monitorios="SI",Datos!CD12,0),
                          " - ")</f>
        <v xml:space="preserve"> - </v>
      </c>
      <c r="AB12" s="549"/>
      <c r="AC12" s="549"/>
      <c r="AD12" s="563"/>
      <c r="AE12" s="563">
        <f>IF(ISNUMBER(Datos!R12),Datos!R12," - ")</f>
        <v>3192</v>
      </c>
      <c r="AF12" s="693" t="str">
        <f>IF(ISNUMBER(Datos!BV12),Datos!BV12," - ")</f>
        <v xml:space="preserve"> - </v>
      </c>
      <c r="AG12" s="552" t="str">
        <f>IF(ISNUMBER(Datos!DV12),Datos!DV12," - ")</f>
        <v xml:space="preserve"> - </v>
      </c>
      <c r="AH12" s="553"/>
      <c r="AI12" s="554"/>
      <c r="AJ12" s="552">
        <f>IF(ISNUMBER(Datos!M12),Datos!M12," - ")</f>
        <v>603</v>
      </c>
      <c r="AK12" s="693">
        <f>IF(ISNUMBER(Datos!N12),Datos!N12," - ")</f>
        <v>1362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5.4637681159420293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9.1655266757865936E-2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768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500</v>
      </c>
      <c r="AA14" s="1199">
        <f t="shared" si="3"/>
        <v>10</v>
      </c>
      <c r="AB14" s="1199">
        <f t="shared" si="3"/>
        <v>0</v>
      </c>
      <c r="AC14" s="1199">
        <f t="shared" si="3"/>
        <v>0</v>
      </c>
      <c r="AD14" s="1199">
        <f t="shared" si="3"/>
        <v>0</v>
      </c>
      <c r="AE14" s="1199">
        <f t="shared" si="3"/>
        <v>3192</v>
      </c>
      <c r="AF14" s="1211">
        <f t="shared" si="3"/>
        <v>0</v>
      </c>
      <c r="AG14" s="1211">
        <f t="shared" si="3"/>
        <v>0</v>
      </c>
      <c r="AH14" s="1211">
        <f t="shared" si="3"/>
        <v>0</v>
      </c>
      <c r="AI14" s="1211">
        <f t="shared" si="3"/>
        <v>0</v>
      </c>
      <c r="AJ14" s="1211">
        <f t="shared" si="3"/>
        <v>619</v>
      </c>
      <c r="AK14" s="1211">
        <f t="shared" si="3"/>
        <v>1364</v>
      </c>
      <c r="AL14" s="1211">
        <f t="shared" si="3"/>
        <v>0</v>
      </c>
      <c r="AM14" s="1211">
        <f t="shared" si="3"/>
        <v>0</v>
      </c>
      <c r="AN14" s="1211">
        <f t="shared" si="3"/>
        <v>0</v>
      </c>
      <c r="AO14" s="1203">
        <f>IF(ISNUMBER(((NºAsuntos!I14/NºAsuntos!G14)*11)/factor_trimestre),((NºAsuntos!I14/NºAsuntos!G14)*11)/factor_trimestre," - ")</f>
        <v>5.4640052356020945</v>
      </c>
      <c r="AP14" s="1213" t="str">
        <f>IF(ISNUMBER(Datos!CI14/Datos!CJ14),Datos!CI14/Datos!CJ14," - ")</f>
        <v xml:space="preserve"> - </v>
      </c>
      <c r="AQ14" s="1236">
        <f t="shared" ref="AQ14:AV14" si="4">SUBTOTAL(9,AQ9:AQ13)</f>
        <v>0</v>
      </c>
      <c r="AR14" s="1236">
        <f t="shared" si="4"/>
        <v>9.1655266757865936E-2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901</v>
      </c>
      <c r="G17" s="552">
        <f>IF(ISNUMBER(IF(D_I="SI",Datos!I17,Datos!I17+Datos!AC17)),IF(D_I="SI",Datos!I17,Datos!I17+Datos!AC17)," - ")</f>
        <v>901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3024</v>
      </c>
      <c r="Z17" s="805">
        <f>IF(ISNUMBER(Datos!Q17),Datos!Q17," - ")</f>
        <v>123</v>
      </c>
      <c r="AA17" s="551">
        <f>IF(ISNUMBER(IF(D_I="SI",Datos!L17,Datos!L17+Datos!AF17)),IF(D_I="SI",Datos!L17,Datos!L17+Datos!AF17)," - ")</f>
        <v>932</v>
      </c>
      <c r="AB17" s="549"/>
      <c r="AC17" s="549"/>
      <c r="AD17" s="563"/>
      <c r="AE17" s="563">
        <f>IF(ISNUMBER(Datos!R17),Datos!R17," - ")</f>
        <v>150</v>
      </c>
      <c r="AF17" s="693" t="str">
        <f>IF(ISNUMBER(Datos!BV17),Datos!BV17," - ")</f>
        <v xml:space="preserve"> - </v>
      </c>
      <c r="AG17" s="552"/>
      <c r="AH17" s="553"/>
      <c r="AI17" s="554"/>
      <c r="AJ17" s="552">
        <f>IF(ISNUMBER(Datos!M17),Datos!M17," - ")</f>
        <v>498</v>
      </c>
      <c r="AK17" s="693">
        <f>IF(ISNUMBER(Datos!N17),Datos!N17," - ")</f>
        <v>1680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3.39021164021164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283</v>
      </c>
      <c r="Z18" s="805">
        <f>IF(ISNUMBER(Datos!Q18),Datos!Q18," - ")</f>
        <v>6</v>
      </c>
      <c r="AA18" s="551">
        <f>IF(ISNUMBER(Datos!L18),Datos!L18,"-")</f>
        <v>89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61</v>
      </c>
      <c r="AK18" s="693">
        <f>IF(ISNUMBER(Datos!N18),Datos!N18," - ")</f>
        <v>134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3.4593639575971733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901</v>
      </c>
      <c r="G23" s="1197">
        <f>SUBTOTAL(9,G16:G22)</f>
        <v>965</v>
      </c>
      <c r="H23" s="1240">
        <f>SUBTOTAL(9,H16:H22)</f>
        <v>0</v>
      </c>
      <c r="I23" s="1217">
        <f>SUBTOTAL(9,I16:I22)</f>
        <v>0</v>
      </c>
      <c r="J23" s="1164">
        <f>SUBTOTAL(9,J15:J22)</f>
        <v>0</v>
      </c>
      <c r="K23" s="1240">
        <f t="shared" ref="K23:S23" si="5">SUBTOTAL(9,K16:K22)</f>
        <v>0</v>
      </c>
      <c r="L23" s="1240">
        <f t="shared" si="5"/>
        <v>0</v>
      </c>
      <c r="M23" s="1240">
        <f t="shared" si="5"/>
        <v>0</v>
      </c>
      <c r="N23" s="1240">
        <f t="shared" si="5"/>
        <v>142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3307</v>
      </c>
      <c r="Z23" s="1240">
        <f t="shared" si="6"/>
        <v>129</v>
      </c>
      <c r="AA23" s="1240">
        <f t="shared" si="6"/>
        <v>1021</v>
      </c>
      <c r="AB23" s="1240">
        <f t="shared" si="6"/>
        <v>0</v>
      </c>
      <c r="AC23" s="1240">
        <f t="shared" si="6"/>
        <v>0</v>
      </c>
      <c r="AD23" s="1240">
        <f t="shared" si="6"/>
        <v>0</v>
      </c>
      <c r="AE23" s="1240">
        <f t="shared" si="6"/>
        <v>150</v>
      </c>
      <c r="AF23" s="1240">
        <f t="shared" si="6"/>
        <v>0</v>
      </c>
      <c r="AG23" s="1240">
        <f t="shared" si="6"/>
        <v>0</v>
      </c>
      <c r="AH23" s="1240">
        <f t="shared" si="6"/>
        <v>0</v>
      </c>
      <c r="AI23" s="1240">
        <f t="shared" si="6"/>
        <v>0</v>
      </c>
      <c r="AJ23" s="1240">
        <f t="shared" si="6"/>
        <v>559</v>
      </c>
      <c r="AK23" s="1240">
        <f t="shared" si="6"/>
        <v>1814</v>
      </c>
      <c r="AL23" s="1240">
        <f t="shared" si="6"/>
        <v>0</v>
      </c>
      <c r="AM23" s="1240">
        <f t="shared" si="6"/>
        <v>0</v>
      </c>
      <c r="AN23" s="1240">
        <f t="shared" si="6"/>
        <v>0</v>
      </c>
      <c r="AO23" s="1242">
        <f>IF(ISNUMBER(((NºAsuntos!I23/NºAsuntos!G23)*11)/factor_trimestre),((NºAsuntos!I23/NºAsuntos!G23)*11)/factor_trimestre," - ")</f>
        <v>3.3961294224372542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910</v>
      </c>
      <c r="G31" s="1117">
        <f t="shared" si="12"/>
        <v>974</v>
      </c>
      <c r="H31" s="1118">
        <f t="shared" si="12"/>
        <v>0</v>
      </c>
      <c r="I31" s="1117">
        <f t="shared" si="12"/>
        <v>0</v>
      </c>
      <c r="J31" s="1119">
        <f t="shared" si="12"/>
        <v>0</v>
      </c>
      <c r="K31" s="1117">
        <f t="shared" si="12"/>
        <v>0</v>
      </c>
      <c r="L31" s="1120">
        <f t="shared" si="12"/>
        <v>0</v>
      </c>
      <c r="M31" s="1117">
        <f t="shared" si="12"/>
        <v>0</v>
      </c>
      <c r="N31" s="1118">
        <f t="shared" si="12"/>
        <v>910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3327</v>
      </c>
      <c r="Z31" s="1124">
        <f t="shared" si="13"/>
        <v>629</v>
      </c>
      <c r="AA31" s="1125">
        <f t="shared" si="13"/>
        <v>1031</v>
      </c>
      <c r="AB31" s="1125">
        <f t="shared" si="13"/>
        <v>0</v>
      </c>
      <c r="AC31" s="1125">
        <f t="shared" si="13"/>
        <v>0</v>
      </c>
      <c r="AD31" s="1126">
        <f t="shared" si="13"/>
        <v>0</v>
      </c>
      <c r="AE31" s="1126">
        <f t="shared" si="13"/>
        <v>3342</v>
      </c>
      <c r="AF31" s="1127">
        <f t="shared" si="13"/>
        <v>0</v>
      </c>
      <c r="AG31" s="1128">
        <f t="shared" si="13"/>
        <v>0</v>
      </c>
      <c r="AH31" s="1129">
        <f t="shared" si="13"/>
        <v>0</v>
      </c>
      <c r="AI31" s="1127">
        <f t="shared" si="13"/>
        <v>0</v>
      </c>
      <c r="AJ31" s="1117">
        <f t="shared" si="13"/>
        <v>1178</v>
      </c>
      <c r="AK31" s="1117">
        <f t="shared" si="13"/>
        <v>3178</v>
      </c>
      <c r="AL31" s="1117">
        <f t="shared" si="13"/>
        <v>0</v>
      </c>
      <c r="AM31" s="1130">
        <f t="shared" si="13"/>
        <v>0</v>
      </c>
      <c r="AN31" s="1120">
        <f>IF(ISNUMBER(Datos!K31/Datos!J31),Datos!K31/Datos!J31," - ")</f>
        <v>0.97156244950719017</v>
      </c>
      <c r="AO31" s="1120">
        <f>IF(ISNUMBER(FIND("06",Criterios!A8,1)),(IF(ISNUMBER(((Datos!R31/Datos!Q31)*11)/factor_trimestre),((Datos!R31/Datos!Q31)*11)/factor_trimestre," - ")),(IF(ISNUMBER(((Datos!L31/Datos!K31)*11)/factor_trimestre),((Datos!L31/Datos!K31)*11)/factor_trimestre," - ")))</f>
        <v>4.4252453018460001</v>
      </c>
      <c r="AP31" s="1131" t="str">
        <f>IF(ISNUMBER(Datos!CI31/Datos!CJ31),Datos!CI31/Datos!CJ31," - ")</f>
        <v xml:space="preserve"> - </v>
      </c>
      <c r="AQ31" s="1131">
        <f>IF(OR(ISNUMBER(FIND("01",Criterios!A8,1)),ISNUMBER(FIND("02",Criterios!A8,1)),ISNUMBER(FIND("03",Criterios!A8,1)),ISNUMBER(FIND("04",Criterios!A8,1))),(J31-Y31+K31)/(F31-K31),(I31-Y31+K31)/(F31-K31))</f>
        <v>-3.6560439560439559</v>
      </c>
      <c r="AR31" s="1131">
        <f>IF(ISNUMBER((Datos!P31-Datos!Q31+O31)/(Datos!R31-Datos!P31+Datos!Q31-O31)),(Datos!P31-Datos!Q31+O31)/(Datos!R31-Datos!P31+Datos!Q31-O31)," - ")</f>
        <v>9.1800065338124792E-2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462.96810545292072</v>
      </c>
      <c r="G33" s="674">
        <f>IF(ISNUMBER(STDEV(G8:G30)),STDEV(G8:G30),"-")</f>
        <v>448.17842960355063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296.98244296350487</v>
      </c>
      <c r="AK33" s="276"/>
      <c r="AL33" s="276">
        <f>IF(ISNUMBER(STDEV(AL8:AL30)),STDEV(AL8:AL30),"-")</f>
        <v>0</v>
      </c>
      <c r="AM33" s="278">
        <f>IF(ISNUMBER(STDEV(AM8:AM30)),STDEV(AM8:AM30),"-")</f>
        <v>0</v>
      </c>
      <c r="AN33" s="660">
        <f>IF(ISNUMBER(STDEV(AN8:AN30)),STDEV(AN8:AN30),"-")</f>
        <v>0</v>
      </c>
      <c r="AO33" s="661">
        <f>IF(ISNUMBER(STDEV(AO8:AO30)),STDEV(AO8:AO30),"-")</f>
        <v>1.1290234282988236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trJCXxK2rpl9CcUZ9yQ9PQ3ijHvr2jwjYU+xkaMLrgogrC8s9V3PL4ak2ZBasTs/pB1G0odqKctN4ploRno9+w==" saltValue="6T1BkFj0GmQ1PMevDlJp/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oOuyNQZQj9Q7XMkG4GWVn++/cXTUvXLaG3wNljVqqBAzpGgDVBfuYiZXyFJvRpcU6nn73so71yu9Sf9xrUFsg==" saltValue="I6AWV5Z8yQAEEZ4knWtT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AgHuvOaIiiymBvH5f40BFGGq53r8S4nSWTCTxWnEDWH9qEr59TgVII8kwKJPbvp/mh+QpgbCyltxWCG/p9Fhw==" saltValue="oVtWdef9D5O/tKLQTNNJ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PICASSENT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0.2025523560209424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0.1432261444877202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RPChxR4cKdI0BUgcJBuL9DxNFmDy2AXSEzqRN3yM7Y7NVdqKVoxEfVFoL5I20eQRdFtLWCi2j+rgfQJchKRErg==" saltValue="4OxqZu4/fHYlkFlTyTK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RTNi8GV9d9dBlLiFv5rjm1CZJ+cOeudOacgopX5Gv71N35rw7e+Zc/XD3Vc2Eg3QfoNRfTgKY0KPRRMxJwoV7g==" saltValue="/LtNwM+x2jIaNKINiGC3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PICASSENT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21</v>
      </c>
      <c r="F10" s="452">
        <f>IF(ISNUMBER(E10/B10),E10/B10," - ")</f>
        <v>21</v>
      </c>
      <c r="G10" s="451">
        <f>IF(ISNUMBER(Datos!K10),Datos!K10," - ")</f>
        <v>20</v>
      </c>
      <c r="H10" s="452">
        <f>IF(ISNUMBER(G10/B10),G10/B10," - ")</f>
        <v>20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1360</v>
      </c>
      <c r="D12" s="452">
        <f>IF(ISNUMBER(C12/Datos!BH12),C12/Datos!BH12," - ")</f>
        <v>453.33333333333331</v>
      </c>
      <c r="E12" s="451">
        <f>IF(ISNUMBER(IF(J_V="SI",Datos!J12,Datos!J12+Datos!Z12)),IF(J_V="SI",Datos!J12,Datos!J12+Datos!Z12)," - ")</f>
        <v>3144</v>
      </c>
      <c r="F12" s="452">
        <f>IF(ISNUMBER(E12/B12),E12/B12," - ")</f>
        <v>1048</v>
      </c>
      <c r="G12" s="451">
        <f>IF(ISNUMBER(IF(J_V="SI",Datos!K12,Datos!K12+Datos!AA12)),IF(J_V="SI",Datos!K12,Datos!K12+Datos!AA12)," - ")</f>
        <v>3036</v>
      </c>
      <c r="H12" s="452">
        <f>IF(ISNUMBER(G12/B12),G12/B12," - ")</f>
        <v>1012</v>
      </c>
      <c r="I12" s="451">
        <f>IF(ISNUMBER(IF(J_V="SI",Datos!L12,Datos!L12+Datos!AB12)),IF(J_V="SI",Datos!L12,Datos!L12+Datos!AB12)," - ")</f>
        <v>1508</v>
      </c>
      <c r="J12" s="452">
        <f>IF(ISNUMBER(I12/B12),I12/B12," - ")</f>
        <v>502.66666666666669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1369</v>
      </c>
      <c r="D14" s="1147" t="str">
        <f>IF(ISNUMBER(C14/Datos!BI14),C14/Datos!BI14," - ")</f>
        <v xml:space="preserve"> - </v>
      </c>
      <c r="E14" s="1146">
        <f>SUBTOTAL(9,E8:E13)</f>
        <v>3165</v>
      </c>
      <c r="F14" s="1147">
        <f>IF(ISNUMBER(E14/B14),E14/B14," - ")</f>
        <v>1055</v>
      </c>
      <c r="G14" s="1146">
        <f>SUBTOTAL(9,G8:G13)</f>
        <v>3056</v>
      </c>
      <c r="H14" s="1147">
        <f>IF(ISNUMBER(G14/B14),G14/B14," - ")</f>
        <v>1018.6666666666666</v>
      </c>
      <c r="I14" s="1146">
        <f>SUBTOTAL(9,I8:I13)</f>
        <v>1518</v>
      </c>
      <c r="J14" s="1147">
        <f>IF(ISNUMBER(I14/B14),I14/B14," - ")</f>
        <v>506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901</v>
      </c>
      <c r="D17" s="452">
        <f>IF(ISNUMBER(C17/Datos!BH17),C17/Datos!BH17," - ")</f>
        <v>300.33333333333331</v>
      </c>
      <c r="E17" s="451">
        <f>IF(ISNUMBER(IF(D_I="SI",Datos!J17,Datos!J17+Datos!AD17)),IF(D_I="SI",Datos!J17,Datos!J17+Datos!AD17)," - ")</f>
        <v>3055</v>
      </c>
      <c r="F17" s="452">
        <f>IF(ISNUMBER(E17/B17),E17/B17," - ")</f>
        <v>1018.3333333333334</v>
      </c>
      <c r="G17" s="451">
        <f>IF(ISNUMBER(IF(D_I="SI",Datos!K17,Datos!K17+Datos!AE17)),IF(D_I="SI",Datos!K17,Datos!K17+Datos!AE17)," - ")</f>
        <v>3024</v>
      </c>
      <c r="H17" s="452">
        <f>IF(ISNUMBER(G17/B17),G17/B17," - ")</f>
        <v>1008</v>
      </c>
      <c r="I17" s="451">
        <f>IF(ISNUMBER(IF(D_I="SI",Datos!L17,Datos!L17+Datos!AF17)),IF(D_I="SI",Datos!L17,Datos!L17+Datos!AF17)," - ")</f>
        <v>932</v>
      </c>
      <c r="J17" s="452">
        <f>IF(ISNUMBER(I17/B17),I17/B17," - ")</f>
        <v>310.66666666666669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308</v>
      </c>
      <c r="F18" s="452">
        <f>IF(ISNUMBER(E18/B18),E18/B18," - ")</f>
        <v>308</v>
      </c>
      <c r="G18" s="451">
        <f>IF(ISNUMBER(IF(D_I="SI",Datos!K18,Datos!K18+Datos!AE18)),IF(D_I="SI",Datos!K18,Datos!K18+Datos!AE18)," - ")</f>
        <v>283</v>
      </c>
      <c r="H18" s="452">
        <f>IF(ISNUMBER(G18/B18),G18/B18," - ")</f>
        <v>283</v>
      </c>
      <c r="I18" s="451">
        <f>IF(ISNUMBER(IF(D_I="SI",Datos!L18,Datos!L18+Datos!AF18)),IF(D_I="SI",Datos!L18,Datos!L18+Datos!AF18)," - ")</f>
        <v>89</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965</v>
      </c>
      <c r="D23" s="1147" t="str">
        <f>IF(ISNUMBER(C23/Datos!BI23),C23/Datos!BI23," - ")</f>
        <v xml:space="preserve"> - </v>
      </c>
      <c r="E23" s="1146">
        <f>SUBTOTAL(9,E15:E22)</f>
        <v>3363</v>
      </c>
      <c r="F23" s="1147">
        <f>IF(ISNUMBER(E23/B23),E23/B23," - ")</f>
        <v>1121</v>
      </c>
      <c r="G23" s="1146">
        <f>SUBTOTAL(9,G15:G22)</f>
        <v>3307</v>
      </c>
      <c r="H23" s="1147">
        <f>IF(ISNUMBER(G23/B23),G23/B23," - ")</f>
        <v>1102.3333333333333</v>
      </c>
      <c r="I23" s="1146">
        <f>SUBTOTAL(9,I15:I22)</f>
        <v>1021</v>
      </c>
      <c r="J23" s="1147">
        <f>IF(ISNUMBER(I23/B23),I23/B23," - ")</f>
        <v>340.33333333333331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2334</v>
      </c>
      <c r="D31" s="1085" t="str">
        <f>IF(ISNUMBER(C31/Datos!BI31),C31/Datos!BI31," - ")</f>
        <v xml:space="preserve"> - </v>
      </c>
      <c r="E31" s="1084">
        <f>SUBTOTAL(9,E9:E30)</f>
        <v>6528</v>
      </c>
      <c r="F31" s="1085">
        <f>IF(ISNUMBER(E31/B31),E31/B31," - ")</f>
        <v>2176</v>
      </c>
      <c r="G31" s="1084">
        <f>SUBTOTAL(9,G9:G30)</f>
        <v>6363</v>
      </c>
      <c r="H31" s="1085">
        <f>IF(ISNUMBER(G31/B31),G31/B31," - ")</f>
        <v>2121</v>
      </c>
      <c r="I31" s="1084">
        <f>SUBTOTAL(9,I9:I30)</f>
        <v>2539</v>
      </c>
      <c r="J31" s="1085">
        <f>IF(ISNUMBER(I31/B31),I31/B31," - ")</f>
        <v>846.33333333333337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9FRUu8t8MNKd6AcdvivjTcjKGTvFf/5EyZ1c/S+DMt3bnPIdo5gyaupW//rRMIlvWKavRG4gpdR+DTwV8Spfg==" saltValue="CBQ9uUAXMr1kYQjbPX+Do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PICASSENT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500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603</v>
      </c>
      <c r="AM12" s="914">
        <f>IF(ISNUMBER(Datos!N12+DatosP!N17),Datos!N12+DatosP!N17," - ")</f>
        <v>1362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5.4637681159420293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9.1655266757865936E-2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768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500</v>
      </c>
      <c r="AE14" s="1257">
        <f t="shared" si="1"/>
        <v>0</v>
      </c>
      <c r="AF14" s="1257">
        <f t="shared" si="1"/>
        <v>10</v>
      </c>
      <c r="AG14" s="1257">
        <f t="shared" si="1"/>
        <v>0</v>
      </c>
      <c r="AH14" s="1257">
        <f t="shared" si="1"/>
        <v>3192</v>
      </c>
      <c r="AI14" s="1257">
        <f t="shared" si="1"/>
        <v>0</v>
      </c>
      <c r="AJ14" s="1257">
        <f t="shared" si="1"/>
        <v>0</v>
      </c>
      <c r="AK14" s="1257">
        <f t="shared" si="1"/>
        <v>0</v>
      </c>
      <c r="AL14" s="1257">
        <f t="shared" si="1"/>
        <v>619</v>
      </c>
      <c r="AM14" s="1257">
        <f t="shared" si="1"/>
        <v>1364</v>
      </c>
      <c r="AN14" s="1257">
        <f t="shared" si="1"/>
        <v>0</v>
      </c>
      <c r="AO14" s="1257">
        <f t="shared" si="1"/>
        <v>0</v>
      </c>
      <c r="AP14" s="1262">
        <f>IF(ISNUMBER(((Datos!L14/Datos!K14)*11)/factor_trimestre),((Datos!L14/Datos!K14)*11)/factor_trimestre," - ")</f>
        <v>5.6829268292682924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-2.2222222222222223</v>
      </c>
      <c r="AU14" s="1257" t="str">
        <f>IF(ISNUMBER((DatosP!#REF!-DatosP!#REF!+DatosP!#REF!)/(DatosP!#REF!+DatosP!#REF!-DatosP!#REF!-DatosP!#REF!)),(DatosP!#REF!-DatosP!#REF!+DatosP!#REF!)/(DatosP!#REF!+DatosP!#REF!-DatosP!#REF!-DatosP!#REF!)," - ")</f>
        <v xml:space="preserve"> - </v>
      </c>
      <c r="AV14" s="1263">
        <f>SUBTOTAL(9,AV9:AV13)</f>
        <v>9.1655266757865936E-2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3.3961294224372542</v>
      </c>
      <c r="AQ23" s="1262">
        <f>IF(ISNUMBER(((Datos!M23/Datos!L23)*11)/factor_trimestre),((Datos!M23/Datos!L23)*11)/factor_trimestre," - ")</f>
        <v>6.0225269343780603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9.4890510948905105E-2</v>
      </c>
      <c r="AW23" s="1265">
        <f>IF(ISNUMBER((Datos!Q23-Datos!R23)/(Datos!S23-Datos!Q23+Datos!R23)),(Datos!Q23-Datos!R23)/(Datos!S23-Datos!Q23+Datos!R23)," - ")</f>
        <v>-2.091633466135458E-2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768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500</v>
      </c>
      <c r="AE31" s="1284">
        <f t="shared" si="9"/>
        <v>0</v>
      </c>
      <c r="AF31" s="1285">
        <f t="shared" si="9"/>
        <v>10</v>
      </c>
      <c r="AG31" s="1285">
        <f t="shared" si="9"/>
        <v>0</v>
      </c>
      <c r="AH31" s="1285">
        <f t="shared" si="9"/>
        <v>3192</v>
      </c>
      <c r="AI31" s="1285">
        <f t="shared" si="9"/>
        <v>0</v>
      </c>
      <c r="AJ31" s="1286">
        <f t="shared" si="9"/>
        <v>0</v>
      </c>
      <c r="AK31" s="1286">
        <f t="shared" si="9"/>
        <v>0</v>
      </c>
      <c r="AL31" s="1278">
        <f t="shared" si="9"/>
        <v>619</v>
      </c>
      <c r="AM31" s="1278">
        <f t="shared" si="9"/>
        <v>1364</v>
      </c>
      <c r="AN31" s="1278">
        <f t="shared" si="9"/>
        <v>0</v>
      </c>
      <c r="AO31" s="1278">
        <f t="shared" si="9"/>
        <v>0</v>
      </c>
      <c r="AP31" s="1278">
        <f>IF(ISNUMBER(((Datos!L31/Datos!K31)*11)/factor_trimestre),((Datos!L31/Datos!K31)*11)/factor_trimestre," - ")</f>
        <v>4.4252453018460001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-2.2222222222222223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9.1800065338124792E-2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313.55552405701081</v>
      </c>
      <c r="AM33" s="1006"/>
      <c r="AN33" s="1006">
        <f>IF(ISNUMBER(STDEV(AN8:AN30)),STDEV(AN8:AN30),"-")</f>
        <v>0</v>
      </c>
      <c r="AO33" s="1012">
        <f>IF(ISNUMBER(STDEV(AO8:AO30)),STDEV(AO8:AO30),"-")</f>
        <v>0</v>
      </c>
      <c r="AP33" s="1065">
        <f>IF(ISNUMBER(STDEV(AP8:AP30)),STDEV(AP8:AP30),"-")</f>
        <v>1.0806498457647615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VyTRwU5H9QJJbS2XLdRbjUmQcWVjUv7e/OeyEOO9qh17vU9IXC2NHoYBJpC6bu8VZrv+Ekn6q9SF5W+/abQjDQ==" saltValue="wwAVu3MypkSnG5WUHEv6D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PICASSENT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AWKELy9w8/0eGFB3DWJ9hACEYjKHRba3L5cVwd5e+zG4uN0x0Uw+4DnOQ7aaLPyeBX6gYZ8TrwaNhs13G3LaXA==" saltValue="sS+llCvvsi1htkDSz+iU6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PICASSENT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16</v>
      </c>
      <c r="E10" s="452">
        <f>IF(ISNUMBER(D10/B10),D10/B10," - ")</f>
        <v>16</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603</v>
      </c>
      <c r="E12" s="452">
        <f t="shared" si="0"/>
        <v>201</v>
      </c>
      <c r="F12" s="451">
        <f>IF(ISNUMBER(Datos!N12),Datos!N12," - ")</f>
        <v>1362</v>
      </c>
      <c r="G12" s="452">
        <f t="shared" si="1"/>
        <v>454</v>
      </c>
      <c r="H12" s="451">
        <f>IF(ISNUMBER(Datos!O12),Datos!O12," - ")</f>
        <v>1443</v>
      </c>
      <c r="I12" s="452">
        <f t="shared" si="2"/>
        <v>481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619</v>
      </c>
      <c r="E14" s="1147">
        <f t="shared" si="0"/>
        <v>154.75</v>
      </c>
      <c r="F14" s="1146">
        <f>SUBTOTAL(9,F9:F13)</f>
        <v>1364</v>
      </c>
      <c r="G14" s="1147">
        <f t="shared" si="1"/>
        <v>341</v>
      </c>
      <c r="H14" s="1146">
        <f>SUBTOTAL(9,H9:H13)</f>
        <v>1444</v>
      </c>
      <c r="I14" s="1147">
        <f>IF(ISNUMBER(H14/B14),H14/B14," - ")</f>
        <v>361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498</v>
      </c>
      <c r="E17" s="452">
        <f t="shared" si="3"/>
        <v>166</v>
      </c>
      <c r="F17" s="451">
        <f>IF(ISNUMBER(Datos!N17),Datos!N17," - ")</f>
        <v>1680</v>
      </c>
      <c r="G17" s="452">
        <f t="shared" si="4"/>
        <v>560</v>
      </c>
      <c r="H17" s="451">
        <f>IF(ISNUMBER(Datos!O17),Datos!O17," - ")</f>
        <v>39</v>
      </c>
      <c r="I17" s="452">
        <f t="shared" si="5"/>
        <v>13</v>
      </c>
    </row>
    <row r="18" spans="1:9">
      <c r="A18" s="450" t="str">
        <f>Datos!A18</f>
        <v>Jdos. Violencia contra la mujer</v>
      </c>
      <c r="B18" s="480">
        <f>Datos!AO18</f>
        <v>1</v>
      </c>
      <c r="C18" s="481">
        <f>Datos!AQ18</f>
        <v>0</v>
      </c>
      <c r="D18" s="451">
        <f>IF(ISNUMBER(Datos!M18),Datos!M18," - ")</f>
        <v>61</v>
      </c>
      <c r="E18" s="452">
        <f>IF(ISNUMBER(D18/B18),D18/B18," - ")</f>
        <v>61</v>
      </c>
      <c r="F18" s="451">
        <f>IF(ISNUMBER(Datos!N18),Datos!N18," - ")</f>
        <v>134</v>
      </c>
      <c r="G18" s="452">
        <f>IF(ISNUMBER(F18/B18),F18/B18," - ")</f>
        <v>134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559</v>
      </c>
      <c r="E23" s="1147">
        <f t="shared" si="3"/>
        <v>139.75</v>
      </c>
      <c r="F23" s="1146">
        <f>SUBTOTAL(9,F16:F22)</f>
        <v>1814</v>
      </c>
      <c r="G23" s="1147">
        <f t="shared" si="4"/>
        <v>453.5</v>
      </c>
      <c r="H23" s="1146">
        <f>SUBTOTAL(9,H16:H22)</f>
        <v>39</v>
      </c>
      <c r="I23" s="1147">
        <f>IF(ISNUMBER(H23/B23),H23/B23," - ")</f>
        <v>9.75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1178</v>
      </c>
      <c r="E31" s="1085">
        <f>IF(ISNUMBER(D31/B31),D31/B31," - ")</f>
        <v>392.66666666666669</v>
      </c>
      <c r="F31" s="1084">
        <f>SUBTOTAL(9,F8:F30)</f>
        <v>3178</v>
      </c>
      <c r="G31" s="1085">
        <f>IF(ISNUMBER(F31/B31),F31/B31," - ")</f>
        <v>1059.3333333333333</v>
      </c>
      <c r="H31" s="1084">
        <f>SUBTOTAL(9,H8:H30)</f>
        <v>1483</v>
      </c>
      <c r="I31" s="1085">
        <f>IF(ISNUMBER(H31/B31),H31/B31," - ")</f>
        <v>494.33333333333331</v>
      </c>
    </row>
    <row r="34" spans="1:1">
      <c r="A34" s="439" t="str">
        <f>Criterios!A4</f>
        <v>Fecha Informe: 14 abr. 2023</v>
      </c>
    </row>
    <row r="39" spans="1:1">
      <c r="A39" s="462"/>
    </row>
  </sheetData>
  <sheetProtection algorithmName="SHA-512" hashValue="yTIZXpFHOfYZnhjLuUd6M0AefFAKr5L3Ub3qSXCBx4wpyoTK5XUV790VrLNLB3JS8GSaEZq2aklbf4mDVKORIw==" saltValue="Oy1Cqpz0zICWYDUOHsqO9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PICASSENT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768</v>
      </c>
      <c r="C12" s="489">
        <f>IF(ISNUMBER(Datos!Q12),Datos!Q12," - ")</f>
        <v>500</v>
      </c>
      <c r="D12" s="456">
        <f>IF(ISNUMBER(Datos!R12),Datos!R12," - ")</f>
        <v>3192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768</v>
      </c>
      <c r="C14" s="1150">
        <f>SUBTOTAL(9,C9:C13)</f>
        <v>500</v>
      </c>
      <c r="D14" s="1148">
        <f>SUBTOTAL(9,D9:D13)</f>
        <v>3192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137</v>
      </c>
      <c r="C17" s="489">
        <f>IF(ISNUMBER(Datos!Q17),Datos!Q17," - ")</f>
        <v>123</v>
      </c>
      <c r="D17" s="456">
        <f>IF(ISNUMBER(Datos!R17),Datos!R17," - ")</f>
        <v>150</v>
      </c>
    </row>
    <row r="18" spans="1:4">
      <c r="A18" s="450" t="str">
        <f>Datos!A18</f>
        <v>Jdos. Violencia contra la mujer</v>
      </c>
      <c r="B18" s="488">
        <f>IF(ISNUMBER(Datos!P18),Datos!P18," - ")</f>
        <v>5</v>
      </c>
      <c r="C18" s="489">
        <f>IF(ISNUMBER(Datos!Q18),Datos!Q18," - ")</f>
        <v>6</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142</v>
      </c>
      <c r="C23" s="1150">
        <f>SUBTOTAL(9,C16:C22)</f>
        <v>129</v>
      </c>
      <c r="D23" s="1148">
        <f>SUBTOTAL(9,D16:D22)</f>
        <v>150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910</v>
      </c>
      <c r="C31" s="1089">
        <f>SUBTOTAL(9,C8:C30)</f>
        <v>629</v>
      </c>
      <c r="D31" s="1090">
        <f>SUBTOTAL(9,D8:D30)</f>
        <v>3342</v>
      </c>
    </row>
    <row r="32" spans="1:4" ht="7.5" customHeight="1"/>
    <row r="33" spans="1:1" ht="6" customHeight="1"/>
    <row r="34" spans="1:1">
      <c r="A34" s="439" t="str">
        <f>Criterios!A4</f>
        <v>Fecha Informe: 14 abr. 2023</v>
      </c>
    </row>
    <row r="39" spans="1:1">
      <c r="A39" s="462"/>
    </row>
  </sheetData>
  <sheetProtection algorithmName="SHA-512" hashValue="NzQoLfXmN0sBjApagNUAW3vFExYU2aYtHMTCVFMr36g4q5lsmeLh51woJOXt3bR+EWrOdIP3CWSMJSo2+IbTHg==" saltValue="Er2lE8U5uZeDkTzTr28c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PICASSENT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0.10526315789473684</v>
      </c>
      <c r="D10" s="515">
        <f>IF(ISNUMBER((Datos!K10-Datos!U10)/Datos!U10),(Datos!K10-Datos!U10)/Datos!U10," - ")</f>
        <v>0.25</v>
      </c>
      <c r="E10" s="515">
        <f>IF(ISNUMBER((Datos!L10-Datos!V10)/Datos!V10),(Datos!L10-Datos!V10)/Datos!V10," - ")</f>
        <v>0.1111111111111111</v>
      </c>
      <c r="F10" s="515">
        <f>IF(ISNUMBER((Datos!M10-Datos!W10)/Datos!W10),(Datos!M10-Datos!W10)/Datos!W10," - ")</f>
        <v>7</v>
      </c>
      <c r="G10" s="516">
        <f>IF(ISNUMBER((Datos!N10-Datos!X10)/Datos!X10),(Datos!N10-Datos!X10)/Datos!X10," - ")</f>
        <v>-0.66666666666666663</v>
      </c>
      <c r="H10" s="514">
        <f>IF(ISNUMBER(((NºAsuntos!G10/NºAsuntos!E10)-Datos!BD10)/Datos!BD10),((NºAsuntos!G10/NºAsuntos!E10)-Datos!BD10)/Datos!BD10," - ")</f>
        <v>0.13095238095238096</v>
      </c>
      <c r="I10" s="515">
        <f>IF(ISNUMBER(((NºAsuntos!I10/NºAsuntos!G10)-Datos!BE10)/Datos!BE10),((NºAsuntos!I10/NºAsuntos!G10)-Datos!BE10)/Datos!BE10," - ")</f>
        <v>-0.1111111111111111</v>
      </c>
      <c r="J10" s="521">
        <f>IF(ISNUMBER((('Resol  Asuntos'!D10/NºAsuntos!G10)-Datos!BF10)/Datos!BF10),(('Resol  Asuntos'!D10/NºAsuntos!G10)-Datos!BF10)/Datos!BF10," - ")</f>
        <v>5.4</v>
      </c>
      <c r="K10" s="522">
        <f>IF(ISNUMBER((((NºAsuntos!C10+NºAsuntos!E10)/NºAsuntos!G10)-Datos!BG10)/Datos!BG10),(((NºAsuntos!C10+NºAsuntos!E10)/NºAsuntos!G10)-Datos!BG10)/Datos!BG10," - ")</f>
        <v>-0.04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7.5098814229249009E-2</v>
      </c>
      <c r="C12" s="515">
        <f>IF(ISNUMBER(
   IF(J_V="SI",(Datos!J12-Datos!T12)/Datos!T12,(Datos!J12+Datos!Z12-(Datos!T12+Datos!AH12))/(Datos!T12+Datos!AH12))
     ),IF(J_V="SI",(Datos!J12-Datos!T12)/Datos!T12,(Datos!J12+Datos!Z12-(Datos!T12+Datos!AH12))/(Datos!T12+Datos!AH12))," - ")</f>
        <v>0.13174946004319654</v>
      </c>
      <c r="D12" s="515">
        <f>IF(ISNUMBER(
   IF(J_V="SI",(Datos!K12-Datos!U12)/Datos!U12,(Datos!K12+Datos!AA12-(Datos!U12+Datos!AI12))/(Datos!U12+Datos!AI12))
     ),IF(J_V="SI",(Datos!K12-Datos!U12)/Datos!U12,(Datos!K12+Datos!AA12-(Datos!U12+Datos!AI12))/(Datos!U12+Datos!AI12))," - ")</f>
        <v>0.12778603268945021</v>
      </c>
      <c r="E12" s="515">
        <f>IF(ISNUMBER(
   IF(J_V="SI",(Datos!L12-Datos!V12)/Datos!V12,(Datos!L12+Datos!AB12-(Datos!V12+Datos!AJ12))/(Datos!V12+Datos!AJ12))
     ),IF(J_V="SI",(Datos!L12-Datos!V12)/Datos!V12,(Datos!L12+Datos!AB12-(Datos!V12+Datos!AJ12))/(Datos!V12+Datos!AJ12))," - ")</f>
        <v>0.10882352941176471</v>
      </c>
      <c r="F12" s="515">
        <f>IF(ISNUMBER((Datos!M12-Datos!W12)/Datos!W12),(Datos!M12-Datos!W12)/Datos!W12," - ")</f>
        <v>0.15517241379310345</v>
      </c>
      <c r="G12" s="516">
        <f>IF(ISNUMBER((Datos!N12-Datos!X12)/Datos!X12),(Datos!N12-Datos!X12)/Datos!X12," - ")</f>
        <v>0.24725274725274726</v>
      </c>
      <c r="H12" s="514">
        <f>IF(ISNUMBER(((NºAsuntos!G12/NºAsuntos!E12)-Datos!BD12)/Datos!BD12),((NºAsuntos!G12/NºAsuntos!E12)-Datos!BD12)/Datos!BD12," - ")</f>
        <v>-3.5020360014971935E-3</v>
      </c>
      <c r="I12" s="515">
        <f>IF(ISNUMBER(((NºAsuntos!I12/NºAsuntos!G12)-Datos!BE12)/Datos!BE12),((NºAsuntos!I12/NºAsuntos!G12)-Datos!BE12)/Datos!BE12," - ")</f>
        <v>-1.6813919243586727E-2</v>
      </c>
      <c r="J12" s="521">
        <f>IF(ISNUMBER((('Resol  Asuntos'!D12/NºAsuntos!G12)-Datos!BF12)/Datos!BF12),(('Resol  Asuntos'!D12/NºAsuntos!G12)-Datos!BF12)/Datos!BF12," - ")</f>
        <v>-0.51037006471789081</v>
      </c>
      <c r="K12" s="522">
        <f>IF(ISNUMBER((((NºAsuntos!C12+NºAsuntos!E12)/NºAsuntos!G12)-Datos!BG12)/Datos!BG12),(((NºAsuntos!C12+NºAsuntos!E12)/NºAsuntos!G12)-Datos!BG12)/Datos!BG12," - ")</f>
        <v>-1.2202485989708165E-2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7.7104642014162075E-2</v>
      </c>
      <c r="C14" s="1152">
        <f>IF(ISNUMBER(
   IF(J_V="SI",(Datos!J14-Datos!T14)/Datos!T14,(Datos!J14+Datos!Z14-(Datos!T14+Datos!AH14))/(Datos!T14+Datos!AH14))
     ),IF(J_V="SI",(Datos!J14-Datos!T14)/Datos!T14,(Datos!J14+Datos!Z14-(Datos!T14+Datos!AH14))/(Datos!T14+Datos!AH14))," - ")</f>
        <v>0.13156953879156238</v>
      </c>
      <c r="D14" s="1152">
        <f>IF(ISNUMBER(
   IF(J_V="SI",(Datos!K14-Datos!U14)/Datos!U14,(Datos!K14+Datos!AA14-(Datos!U14+Datos!AI14))/(Datos!U14+Datos!AI14))
     ),IF(J_V="SI",(Datos!K14-Datos!U14)/Datos!U14,(Datos!K14+Datos!AA14-(Datos!U14+Datos!AI14))/(Datos!U14+Datos!AI14))," - ")</f>
        <v>0.12850812407680945</v>
      </c>
      <c r="E14" s="1152">
        <f>IF(ISNUMBER(
   IF(J_V="SI",(Datos!L14-Datos!V14)/Datos!V14,(Datos!L14+Datos!AB14-(Datos!V14+Datos!AJ14))/(Datos!V14+Datos!AJ14))
     ),IF(J_V="SI",(Datos!L14-Datos!V14)/Datos!V14,(Datos!L14+Datos!AB14-(Datos!V14+Datos!AJ14))/(Datos!V14+Datos!AJ14))," - ")</f>
        <v>0.10883856829802775</v>
      </c>
      <c r="F14" s="1153">
        <f>IF(ISNUMBER((Datos!M14-Datos!W14)/Datos!W14),(Datos!M14-Datos!W14)/Datos!W14," - ")</f>
        <v>0.18129770992366412</v>
      </c>
      <c r="G14" s="1154">
        <f>IF(ISNUMBER((Datos!N14-Datos!X14)/Datos!X14),(Datos!N14-Datos!X14)/Datos!X14," - ")</f>
        <v>0.24225865209471767</v>
      </c>
      <c r="H14" s="1154">
        <f>IF(ISNUMBER(((NºAsuntos!G14/NºAsuntos!E14)-Datos!BD14)/Datos!BD14),((NºAsuntos!G14/NºAsuntos!E14)-Datos!BD14)/Datos!BD14," - ")</f>
        <v>-2.7054587542382266E-3</v>
      </c>
      <c r="I14" s="1154">
        <f>IF(ISNUMBER(((NºAsuntos!I14/NºAsuntos!G14)-Datos!BE14)/Datos!BE14),((NºAsuntos!I14/NºAsuntos!G14)-Datos!BE14)/Datos!BE14," - ")</f>
        <v>-1.7429697987218849E-2</v>
      </c>
      <c r="J14" s="1154">
        <f>IF(ISNUMBER((('Resol  Asuntos'!D14/NºAsuntos!G14)-Datos!BF14)/Datos!BF14),(('Resol  Asuntos'!D14/NºAsuntos!G14)-Datos!BF14)/Datos!BF14," - ")</f>
        <v>-0.4986181169061133</v>
      </c>
      <c r="K14" s="1154">
        <f>IF(ISNUMBER((((NºAsuntos!C14+NºAsuntos!E14)/NºAsuntos!G14)-Datos!BG14)/Datos!BG14),(((NºAsuntos!C14+NºAsuntos!E14)/NºAsuntos!G14)-Datos!BG14)/Datos!BG14," - ")</f>
        <v>-1.2366342852141879E-2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3.4443168771526977E-2</v>
      </c>
      <c r="C17" s="515">
        <f>IF(ISNUMBER(
   IF(D_I="SI",(Datos!J17-Datos!T17)/Datos!T17,(Datos!J17+Datos!AD17-(Datos!T17+Datos!AL17))/(Datos!T17+Datos!AL17))
     ),IF(D_I="SI",(Datos!J17-Datos!T17)/Datos!T17,(Datos!J17+Datos!AD17-(Datos!T17+Datos!AL17))/(Datos!T17+Datos!AL17))," - ")</f>
        <v>-7.1498212544686386E-3</v>
      </c>
      <c r="D17" s="515">
        <f>IF(ISNUMBER(
   IF(D_I="SI",(Datos!K17-Datos!U17)/Datos!U17,(Datos!K17+Datos!AE17-(Datos!U17+Datos!AM17))/(Datos!U17+Datos!AM17))
     ),IF(D_I="SI",(Datos!K17-Datos!U17)/Datos!U17,(Datos!K17+Datos!AE17-(Datos!U17+Datos!AM17))/(Datos!U17+Datos!AM17))," - ")</f>
        <v>-1.6265452179570591E-2</v>
      </c>
      <c r="E17" s="515">
        <f>IF(ISNUMBER(
   IF(D_I="SI",(Datos!L17-Datos!V17)/Datos!V17,(Datos!L17+Datos!AF17-(Datos!V17+Datos!AN17))/(Datos!V17+Datos!AN17))
     ),IF(D_I="SI",(Datos!L17-Datos!V17)/Datos!V17,(Datos!L17+Datos!AF17-(Datos!V17+Datos!AN17))/(Datos!V17+Datos!AN17))," - ")</f>
        <v>3.4406215316315207E-2</v>
      </c>
      <c r="F17" s="515">
        <f>IF(ISNUMBER((Datos!M17-Datos!W17)/Datos!W17),(Datos!M17-Datos!W17)/Datos!W17," - ")</f>
        <v>-4.0000000000000001E-3</v>
      </c>
      <c r="G17" s="516">
        <f>IF(ISNUMBER((Datos!N17-Datos!X17)/Datos!X17),(Datos!N17-Datos!X17)/Datos!X17," - ")</f>
        <v>6.5313887127457199E-2</v>
      </c>
      <c r="H17" s="514">
        <f>IF(ISNUMBER(((NºAsuntos!G17/NºAsuntos!E17)-Datos!BD17)/Datos!BD17),((NºAsuntos!G17/NºAsuntos!E17)-Datos!BD17)/Datos!BD17," - ")</f>
        <v>-9.1812754031223368E-3</v>
      </c>
      <c r="I17" s="515">
        <f>IF(ISNUMBER(((NºAsuntos!I17/NºAsuntos!G17)-Datos!BE17)/Datos!BE17),((NºAsuntos!I17/NºAsuntos!G17)-Datos!BE17)/Datos!BE17," - ")</f>
        <v>5.1509492685963353E-2</v>
      </c>
      <c r="J17" s="521">
        <f>IF(ISNUMBER((('Resol  Asuntos'!D17/NºAsuntos!G17)-Datos!BF17)/Datos!BF17),(('Resol  Asuntos'!D17/NºAsuntos!G17)-Datos!BF17)/Datos!BF17," - ")</f>
        <v>1.2468253968253995E-2</v>
      </c>
      <c r="K17" s="522">
        <f>IF(ISNUMBER((((NºAsuntos!C17+NºAsuntos!E17)/NºAsuntos!G17)-Datos!BG17)/Datos!BG17),(((NºAsuntos!C17+NºAsuntos!E17)/NºAsuntos!G17)-Datos!BG17)/Datos!BG17," - ")</f>
        <v>1.859423832574798E-2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0.50980392156862742</v>
      </c>
      <c r="D18" s="515">
        <f>IF(ISNUMBER(
   IF(D_I="SI",(Datos!K18-Datos!U18)/Datos!U18,(Datos!K18+Datos!AE18-(Datos!U18+Datos!AM18))/(Datos!U18+Datos!AM18))
     ),IF(D_I="SI",(Datos!K18-Datos!U18)/Datos!U18,(Datos!K18+Datos!AE18-(Datos!U18+Datos!AM18))/(Datos!U18+Datos!AM18))," - ")</f>
        <v>3.5460992907801418E-3</v>
      </c>
      <c r="E18" s="515">
        <f>IF(ISNUMBER(
   IF(D_I="SI",(Datos!L18-Datos!V18)/Datos!V18,(Datos!L18+Datos!AF18-(Datos!V18+Datos!AN18))/(Datos!V18+Datos!AN18))
     ),IF(D_I="SI",(Datos!L18-Datos!V18)/Datos!V18,(Datos!L18+Datos!AF18-(Datos!V18+Datos!AN18))/(Datos!V18+Datos!AN18))," - ")</f>
        <v>0.390625</v>
      </c>
      <c r="F18" s="515">
        <f>IF(ISNUMBER((Datos!M18-Datos!W18)/Datos!W18),(Datos!M18-Datos!W18)/Datos!W18," - ")</f>
        <v>0.60526315789473684</v>
      </c>
      <c r="G18" s="516">
        <f>IF(ISNUMBER((Datos!N18-Datos!X18)/Datos!X18),(Datos!N18-Datos!X18)/Datos!X18," - ")</f>
        <v>-0.37089201877934275</v>
      </c>
      <c r="H18" s="514">
        <f>IF(ISNUMBER(((NºAsuntos!G18/NºAsuntos!E18)-Datos!BD18)/Datos!BD18),((NºAsuntos!G18/NºAsuntos!E18)-Datos!BD18)/Datos!BD18," - ")</f>
        <v>-0.33531362254766511</v>
      </c>
      <c r="I18" s="515">
        <f>IF(ISNUMBER(((NºAsuntos!I18/NºAsuntos!G18)-Datos!BE18)/Datos!BE18),((NºAsuntos!I18/NºAsuntos!G18)-Datos!BE18)/Datos!BE18," - ")</f>
        <v>0.38571113074204955</v>
      </c>
      <c r="J18" s="521">
        <f>IF(ISNUMBER((('Resol  Asuntos'!D18/NºAsuntos!G18)-Datos!BF18)/Datos!BF18),(('Resol  Asuntos'!D18/NºAsuntos!G18)-Datos!BF18)/Datos!BF18," - ")</f>
        <v>0.59959084991631029</v>
      </c>
      <c r="K18" s="522">
        <f>IF(ISNUMBER((((NºAsuntos!C18+NºAsuntos!E18)/NºAsuntos!G18)-Datos!BG18)/Datos!BG18),(((NºAsuntos!C18+NºAsuntos!E18)/NºAsuntos!G18)-Datos!BG18)/Datos!BG18," - ")</f>
        <v>0.17305541888446566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-1.8311291963377416E-2</v>
      </c>
      <c r="C23" s="1152">
        <f>IF(ISNUMBER(
   IF(Criterios!B14="SI",(Datos!J23-Datos!T23)/Datos!T23,(Datos!J23+Datos!AD23-(Datos!T23+Datos!AL23))/(Datos!T23+Datos!AL23))
     ),IF(Criterios!B14="SI",(Datos!J23-Datos!T23)/Datos!T23,(Datos!J23+Datos!AD23-(Datos!T23+Datos!AL23))/(Datos!T23+Datos!AL23))," - ")</f>
        <v>2.4992380371837854E-2</v>
      </c>
      <c r="D23" s="1152">
        <f>IF(ISNUMBER(
   IF(Criterios!B14="SI",(Datos!K23-Datos!U23)/Datos!U23,(Datos!K23+Datos!AE23-(Datos!U23+Datos!AM23))/(Datos!U23+Datos!AM23))
     ),IF(Criterios!B14="SI",(Datos!K23-Datos!U23)/Datos!U23,(Datos!K23+Datos!AE23-(Datos!U23+Datos!AM23))/(Datos!U23+Datos!AM23))," - ")</f>
        <v>-1.4600715137067939E-2</v>
      </c>
      <c r="E23" s="1152">
        <f>IF(ISNUMBER(
   IF(Criterios!B14="SI",(Datos!L23-Datos!V23)/Datos!V23,(Datos!L23+Datos!AF23-(Datos!V23+Datos!AN23))/(Datos!V23+Datos!AN23))
     ),IF(Criterios!B14="SI",(Datos!L23-Datos!V23)/Datos!V23,(Datos!L23+Datos!AF23-(Datos!V23+Datos!AN23))/(Datos!V23+Datos!AN23))," - ")</f>
        <v>5.8031088082901555E-2</v>
      </c>
      <c r="F23" s="1153">
        <f>IF(ISNUMBER((Datos!M23-Datos!W23)/Datos!W23),(Datos!M23-Datos!W23)/Datos!W23," - ")</f>
        <v>3.9033457249070633E-2</v>
      </c>
      <c r="G23" s="1154">
        <f>IF(ISNUMBER((Datos!N23-Datos!X23)/Datos!X23),(Datos!N23-Datos!X23)/Datos!X23," - ")</f>
        <v>1.3407821229050279E-2</v>
      </c>
      <c r="H23" s="1154">
        <f>IF(ISNUMBER(((NºAsuntos!G23/NºAsuntos!E23)-Datos!BD23)/Datos!BD23),((NºAsuntos!G23/NºAsuntos!E23)-Datos!BD23)/Datos!BD23," - ")</f>
        <v>-3.8627697402533405E-2</v>
      </c>
      <c r="I23" s="1154">
        <f>IF(ISNUMBER(((NºAsuntos!I23/NºAsuntos!G23)-Datos!BE23)/Datos!BE23),((NºAsuntos!I23/NºAsuntos!G23)-Datos!BE23)/Datos!BE23," - ")</f>
        <v>7.3707992623591484E-2</v>
      </c>
      <c r="J23" s="1154">
        <f>IF(ISNUMBER((('Resol  Asuntos'!D23/NºAsuntos!G23)-Datos!BF23)/Datos!BF23),(('Resol  Asuntos'!D23/NºAsuntos!G23)-Datos!BF23)/Datos!BF23," - ")</f>
        <v>5.4428872853910217E-2</v>
      </c>
      <c r="K23" s="1154">
        <f>IF(ISNUMBER((((NºAsuntos!C23+NºAsuntos!E23)/NºAsuntos!G23)-Datos!BG23)/Datos!BG23),(((NºAsuntos!C23+NºAsuntos!E23)/NºAsuntos!G23)-Datos!BG23)/Datos!BG23," - ")</f>
        <v>3.0048830413172235E-2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3.5492457852706299E-2</v>
      </c>
      <c r="C31" s="1092">
        <f>IF(ISNUMBER(
   IF(J_V="SI",(Datos!J31-Datos!T31)/Datos!T31,(Datos!J31+Datos!Z31-(Datos!T31+Datos!AH31))/(Datos!T31+Datos!AH31))
     ),IF(J_V="SI",(Datos!J31-Datos!T31)/Datos!T31,(Datos!J31+Datos!Z31-(Datos!T31+Datos!AH31))/(Datos!T31+Datos!AH31))," - ")</f>
        <v>7.4037512339585387E-2</v>
      </c>
      <c r="D31" s="1092">
        <f>IF(ISNUMBER(
   IF(J_V="SI",(Datos!K31-Datos!U31)/Datos!U31,(Datos!K31+Datos!AA31-(Datos!U31+Datos!AI31))/(Datos!U31+Datos!AI31))
     ),IF(J_V="SI",(Datos!K31-Datos!U31)/Datos!U31,(Datos!K31+Datos!AA31-(Datos!U31+Datos!AI31))/(Datos!U31+Datos!AI31))," - ")</f>
        <v>4.9307387862796835E-2</v>
      </c>
      <c r="E31" s="1092">
        <f>IF(ISNUMBER(
   IF(J_V="SI",(Datos!L31-Datos!V31)/Datos!V31,(Datos!L31+Datos!AB31-(Datos!V31+Datos!AJ31))/(Datos!V31+Datos!AJ31))
     ),IF(J_V="SI",(Datos!L31-Datos!V31)/Datos!V31,(Datos!L31+Datos!AB31-(Datos!V31+Datos!AJ31))/(Datos!V31+Datos!AJ31))," - ")</f>
        <v>8.783204798628963E-2</v>
      </c>
      <c r="F31" s="1093">
        <f>IF(ISNUMBER((Datos!M31-Datos!W31)/Datos!W31),(Datos!M31-Datos!W31)/Datos!W31," - ")</f>
        <v>0.10922787193973635</v>
      </c>
      <c r="G31" s="1094">
        <f>IF(ISNUMBER((Datos!N31-Datos!X31)/Datos!X31),(Datos!N31-Datos!X31)/Datos!X31," - ")</f>
        <v>0.10041551246537396</v>
      </c>
      <c r="H31" s="1095">
        <f>IF(ISNUMBER((Tasas!B31-Datos!BD31)/Datos!BD31),(Tasas!B31-Datos!BD31)/Datos!BD31," - ")</f>
        <v>-2.3025382440245261E-2</v>
      </c>
      <c r="I31" s="1096">
        <f>IF(ISNUMBER((Tasas!C31-Datos!BE31)/Datos!BE31),(Tasas!C31-Datos!BE31)/Datos!BE31," - ")</f>
        <v>3.6714370421005831E-2</v>
      </c>
      <c r="J31" s="1097">
        <f>IF(ISNUMBER((Tasas!D31-Datos!BF31)/Datos!BF31),(Tasas!D31-Datos!BF31)/Datos!BF31," - ")</f>
        <v>-0.31210459981572392</v>
      </c>
      <c r="K31" s="1097">
        <f>IF(ISNUMBER((Tasas!E31-Datos!BG31)/Datos!BG31),(Tasas!E31-Datos!BG31)/Datos!BG31," - ")</f>
        <v>1.3630695762807121E-2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PpLFPqhbW8helpgh0IhOfn4Hle9BN1BHw6yJOkD2eV4qWdKEKcvAAp3WFXKBINdPHyMvuPijTpYB6m8OpKFKA==" saltValue="Tcs5unblNHhPCYj5WE3Y5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PICASSENT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0.95238095238095233</v>
      </c>
      <c r="C10" s="498">
        <f>IF(ISNUMBER(NºAsuntos!I10/NºAsuntos!G10),NºAsuntos!I10/NºAsuntos!G10," - ")</f>
        <v>0.5</v>
      </c>
      <c r="D10" s="499">
        <f>IF(ISNUMBER('Resol  Asuntos'!D10/NºAsuntos!G10),'Resol  Asuntos'!D10/NºAsuntos!G10," - ")</f>
        <v>0.8</v>
      </c>
      <c r="E10" s="500">
        <f>IF(ISNUMBER((NºAsuntos!C10+NºAsuntos!E10)/NºAsuntos!G10),(NºAsuntos!C10+NºAsuntos!E10)/NºAsuntos!G10," - ")</f>
        <v>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0.96564885496183206</v>
      </c>
      <c r="C12" s="498">
        <f>IF(ISNUMBER(NºAsuntos!I12/NºAsuntos!G12),NºAsuntos!I12/NºAsuntos!G12," - ")</f>
        <v>0.49670619235836627</v>
      </c>
      <c r="D12" s="499">
        <f>IF(ISNUMBER('Resol  Asuntos'!D12/NºAsuntos!G12),'Resol  Asuntos'!D12/NºAsuntos!G12," - ")</f>
        <v>0.19861660079051383</v>
      </c>
      <c r="E12" s="500">
        <f>IF(ISNUMBER((NºAsuntos!C12+NºAsuntos!E12)/NºAsuntos!G12),(NºAsuntos!C12+NºAsuntos!E12)/NºAsuntos!G12," - ")</f>
        <v>1.4835309617918313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0.96556082148499212</v>
      </c>
      <c r="C14" s="1156">
        <f>IF(ISNUMBER(NºAsuntos!I14/NºAsuntos!G14),NºAsuntos!I14/NºAsuntos!G14," - ")</f>
        <v>0.49672774869109948</v>
      </c>
      <c r="D14" s="1157">
        <f>IF(ISNUMBER('Resol  Asuntos'!D14/NºAsuntos!G14),'Resol  Asuntos'!D14/NºAsuntos!G14," - ")</f>
        <v>0.2025523560209424</v>
      </c>
      <c r="E14" s="1158">
        <f>IF(ISNUMBER((NºAsuntos!C14+NºAsuntos!E14)/NºAsuntos!G14),(NºAsuntos!C14+NºAsuntos!E14)/NºAsuntos!G14," - ")</f>
        <v>1.4836387434554974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0.98985270049099838</v>
      </c>
      <c r="C17" s="498">
        <f>IF(ISNUMBER(NºAsuntos!I17/NºAsuntos!G17),NºAsuntos!I17/NºAsuntos!G17," - ")</f>
        <v>0.3082010582010582</v>
      </c>
      <c r="D17" s="499">
        <f>IF(ISNUMBER('Resol  Asuntos'!D17/NºAsuntos!G17),'Resol  Asuntos'!D17/NºAsuntos!G17," - ")</f>
        <v>0.16468253968253968</v>
      </c>
      <c r="E17" s="500">
        <f>IF(ISNUMBER((NºAsuntos!C17+NºAsuntos!E17)/NºAsuntos!G17),(NºAsuntos!C17+NºAsuntos!E17)/NºAsuntos!G17," - ")</f>
        <v>1.3082010582010581</v>
      </c>
      <c r="G17" s="523"/>
    </row>
    <row r="18" spans="1:7">
      <c r="A18" s="450" t="str">
        <f>Datos!A18</f>
        <v>Jdos. Violencia contra la mujer</v>
      </c>
      <c r="B18" s="497">
        <f>IF(ISNUMBER(NºAsuntos!G18/NºAsuntos!E18),NºAsuntos!G18/NºAsuntos!E18," - ")</f>
        <v>0.91883116883116878</v>
      </c>
      <c r="C18" s="498">
        <f>IF(ISNUMBER(NºAsuntos!I18/NºAsuntos!G18),NºAsuntos!I18/NºAsuntos!G18," - ")</f>
        <v>0.31448763250883394</v>
      </c>
      <c r="D18" s="499">
        <f>IF(ISNUMBER('Resol  Asuntos'!D18/NºAsuntos!G18),'Resol  Asuntos'!D18/NºAsuntos!G18," - ")</f>
        <v>0.21554770318021202</v>
      </c>
      <c r="E18" s="500">
        <f>IF(ISNUMBER((NºAsuntos!C18+NºAsuntos!E18)/NºAsuntos!G18),(NºAsuntos!C18+NºAsuntos!E18)/NºAsuntos!G18," - ")</f>
        <v>1.3144876325088339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0.98334820101100207</v>
      </c>
      <c r="C23" s="1156">
        <f>IF(ISNUMBER(NºAsuntos!I23/NºAsuntos!G23),NºAsuntos!I23/NºAsuntos!G23," - ")</f>
        <v>0.30873903840338673</v>
      </c>
      <c r="D23" s="1159">
        <f>IF(ISNUMBER('Resol  Asuntos'!D23/NºAsuntos!G23),'Resol  Asuntos'!D23/NºAsuntos!G23," - ")</f>
        <v>0.16903537949803446</v>
      </c>
      <c r="E23" s="1158">
        <f>IF(ISNUMBER((NºAsuntos!C23+NºAsuntos!E23)/NºAsuntos!G23),(NºAsuntos!C23+NºAsuntos!E23)/NºAsuntos!G23," - ")</f>
        <v>1.3087390384033868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0.97472426470588236</v>
      </c>
      <c r="C31" s="1099">
        <f>IF(ISNUMBER(NºAsuntos!I31/NºAsuntos!G31),NºAsuntos!I31/NºAsuntos!G31," - ")</f>
        <v>0.39902561684739901</v>
      </c>
      <c r="D31" s="1100">
        <f>IF(ISNUMBER('Resol  Asuntos'!D31/NºAsuntos!G31),'Resol  Asuntos'!D31/NºAsuntos!G31," - ")</f>
        <v>0.18513279899418514</v>
      </c>
      <c r="E31" s="1101">
        <f>IF(ISNUMBER((NºAsuntos!C31+NºAsuntos!E31)/NºAsuntos!G31),(NºAsuntos!C31+NºAsuntos!E31)/NºAsuntos!G31," - ")</f>
        <v>1.3927392739273927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WelMXbg076dJw0Fl2dfyDh7r9GuhkNHwAP9ifRfIU9LMyJ6R2lW04t1B0PKO4dTaAbh/fdETKGOMNNBhKgVPw==" saltValue="Ix8JZeBV3N0c//+a+Apj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PICASSENT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0</v>
      </c>
      <c r="Y10" s="374">
        <f t="shared" ref="Y10:Y13" si="0">SUM(W10:X10)</f>
        <v>20</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0.95238095238095233</v>
      </c>
      <c r="AM10" s="284">
        <f>IF(ISNUMBER(((NºAsuntos!I10/NºAsuntos!G10)*11)/factor_trimestre),((NºAsuntos!I10/NºAsuntos!G10)*11)/factor_trimestre," - ")</f>
        <v>5.5</v>
      </c>
      <c r="AN10" s="267">
        <f>IF(ISNUMBER('Resol  Asuntos'!D10/NºAsuntos!G10),'Resol  Asuntos'!D10/NºAsuntos!G10," - ")</f>
        <v>0.8</v>
      </c>
      <c r="AO10" s="268">
        <f>IF(ISNUMBER((NºAsuntos!C10+NºAsuntos!E10)/NºAsuntos!G10),(NºAsuntos!C10+NºAsuntos!E10)/NºAsuntos!G10," - ")</f>
        <v>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500</v>
      </c>
      <c r="Y12" s="374">
        <f t="shared" si="0"/>
        <v>500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603</v>
      </c>
      <c r="AJ12" s="243" t="str">
        <f>IF(ISNUMBER(Datos!BW12),Datos!BW12," - ")</f>
        <v xml:space="preserve"> - </v>
      </c>
      <c r="AK12" s="242" t="str">
        <f>IF(ISNUMBER(Datos!BX12),Datos!BX12," - ")</f>
        <v xml:space="preserve"> - </v>
      </c>
      <c r="AL12" s="266">
        <f>IF(ISNUMBER(NºAsuntos!G12/NºAsuntos!E12),NºAsuntos!G12/NºAsuntos!E12," - ")</f>
        <v>0.96564885496183206</v>
      </c>
      <c r="AM12" s="284">
        <f>IF(ISNUMBER(((NºAsuntos!I12/NºAsuntos!G12)*11)/factor_trimestre),((NºAsuntos!I12/NºAsuntos!G12)*11)/factor_trimestre," - ")</f>
        <v>5.4637681159420293</v>
      </c>
      <c r="AN12" s="267">
        <f>IF(ISNUMBER('Resol  Asuntos'!D12/NºAsuntos!G12),'Resol  Asuntos'!D12/NºAsuntos!G12," - ")</f>
        <v>0.19861660079051383</v>
      </c>
      <c r="AO12" s="268">
        <f>IF(ISNUMBER((NºAsuntos!C12+NºAsuntos!E12)/NºAsuntos!G12),(NºAsuntos!C12+NºAsuntos!E12)/NºAsuntos!G12," - ")</f>
        <v>1.4835309617918313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768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500</v>
      </c>
      <c r="Y14" s="1165">
        <f t="shared" si="6"/>
        <v>520</v>
      </c>
      <c r="Z14" s="1165">
        <f t="shared" si="6"/>
        <v>0</v>
      </c>
      <c r="AA14" s="1165">
        <f t="shared" si="6"/>
        <v>10</v>
      </c>
      <c r="AB14" s="1165">
        <f t="shared" si="6"/>
        <v>3192</v>
      </c>
      <c r="AC14" s="1165">
        <f t="shared" si="6"/>
        <v>10</v>
      </c>
      <c r="AD14" s="1165">
        <f t="shared" si="6"/>
        <v>0</v>
      </c>
      <c r="AE14" s="1169">
        <f t="shared" si="6"/>
        <v>0</v>
      </c>
      <c r="AF14" s="1162">
        <f t="shared" si="6"/>
        <v>0</v>
      </c>
      <c r="AG14" s="1170">
        <f t="shared" si="6"/>
        <v>0</v>
      </c>
      <c r="AH14" s="1167">
        <f t="shared" si="6"/>
        <v>0</v>
      </c>
      <c r="AI14" s="1162">
        <f t="shared" si="6"/>
        <v>619</v>
      </c>
      <c r="AJ14" s="1164">
        <f t="shared" si="6"/>
        <v>0</v>
      </c>
      <c r="AK14" s="1167">
        <f>SUBTOTAL(9,AK9:AK13)</f>
        <v>0</v>
      </c>
      <c r="AL14" s="1171">
        <f>IF(ISNUMBER(NºAsuntos!G14/NºAsuntos!E14),NºAsuntos!G14/NºAsuntos!E14," - ")</f>
        <v>0.96556082148499212</v>
      </c>
      <c r="AM14" s="1171">
        <f>IF(ISNUMBER(((NºAsuntos!I14/NºAsuntos!G14)*11)/factor_trimestre),((NºAsuntos!I14/NºAsuntos!G14)*11)/factor_trimestre," - ")</f>
        <v>5.4640052356020945</v>
      </c>
      <c r="AN14" s="1172">
        <f>IF(ISNUMBER('Resol  Asuntos'!D14/NºAsuntos!G14),'Resol  Asuntos'!D14/NºAsuntos!G14," - ")</f>
        <v>0.2025523560209424</v>
      </c>
      <c r="AO14" s="1173">
        <f>IF(ISNUMBER((NºAsuntos!C14+NºAsuntos!E14)/NºAsuntos!G14),(NºAsuntos!C14+NºAsuntos!E14)/NºAsuntos!G14," - ")</f>
        <v>1.4836387434554974</v>
      </c>
      <c r="AP14" s="1174" t="str">
        <f t="shared" si="2"/>
        <v xml:space="preserve"> - </v>
      </c>
      <c r="AQ14" s="1174">
        <f>IF(ISNUMBER((H14-W14+K14)/(F14)),(H14-W14+K14)/(F14)," - ")</f>
        <v>-2.2222222222222223</v>
      </c>
      <c r="AR14" s="1175">
        <f>IF(ISNUMBER((Datos!P14-Datos!Q14)/(Datos!R14-Datos!P14+Datos!Q14)),(Datos!P14-Datos!Q14)/(Datos!R14-Datos!P14+Datos!Q14)," - ")</f>
        <v>9.1655266757865936E-2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901</v>
      </c>
      <c r="G17" s="373">
        <f>IF(ISNUMBER(IF(D_I="SI",Datos!I17,Datos!I17+Datos!AC17)),IF(D_I="SI",Datos!I17,Datos!I17+Datos!AC17)," - ")</f>
        <v>901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3024</v>
      </c>
      <c r="X17" s="240">
        <f>IF(ISNUMBER(Datos!Q17),Datos!Q17," - ")</f>
        <v>123</v>
      </c>
      <c r="Y17" s="374">
        <f t="shared" ref="Y17:Y22" si="9">SUM(W17:X17)</f>
        <v>3147</v>
      </c>
      <c r="Z17" s="375" t="str">
        <f>IF(ISNUMBER(Datos!CC17),Datos!CC17," - ")</f>
        <v xml:space="preserve"> - </v>
      </c>
      <c r="AA17" s="372">
        <f>IF(ISNUMBER(IF(D_I="SI",Datos!L17,Datos!L17+Datos!AF17)),IF(D_I="SI",Datos!L17,Datos!L17+Datos!AF17)," - ")</f>
        <v>932</v>
      </c>
      <c r="AB17" s="374">
        <f>IF(ISNUMBER(Datos!R17),Datos!R17," - ")</f>
        <v>150</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498</v>
      </c>
      <c r="AJ17" s="245" t="str">
        <f>IF(ISNUMBER(Datos!BW17),Datos!BW17," - ")</f>
        <v xml:space="preserve"> - </v>
      </c>
      <c r="AK17" s="246" t="str">
        <f>IF(ISNUMBER(Datos!BX17),Datos!BX17," - ")</f>
        <v xml:space="preserve"> - </v>
      </c>
      <c r="AL17" s="266">
        <f>IF(ISNUMBER(NºAsuntos!G17/NºAsuntos!E17),NºAsuntos!G17/NºAsuntos!E17," - ")</f>
        <v>0.98985270049099838</v>
      </c>
      <c r="AM17" s="284">
        <f>IF(ISNUMBER(((NºAsuntos!I17/NºAsuntos!G17)*11)/factor_trimestre),((NºAsuntos!I17/NºAsuntos!G17)*11)/factor_trimestre," - ")</f>
        <v>3.39021164021164</v>
      </c>
      <c r="AN17" s="267">
        <f>IF(ISNUMBER('Resol  Asuntos'!D17/NºAsuntos!G17),'Resol  Asuntos'!D17/NºAsuntos!G17," - ")</f>
        <v>0.16468253968253968</v>
      </c>
      <c r="AO17" s="268">
        <f>IF(ISNUMBER((NºAsuntos!C17+NºAsuntos!E17)/NºAsuntos!G17),(NºAsuntos!C17+NºAsuntos!E17)/NºAsuntos!G17," - ")</f>
        <v>1.3082010582010581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283</v>
      </c>
      <c r="X18" s="240">
        <f>IF(ISNUMBER(Datos!Q18),Datos!Q18," - ")</f>
        <v>6</v>
      </c>
      <c r="Y18" s="374">
        <f t="shared" si="9"/>
        <v>289</v>
      </c>
      <c r="Z18" s="375" t="str">
        <f>IF(ISNUMBER(Datos!CC18),Datos!CC18," - ")</f>
        <v xml:space="preserve"> - </v>
      </c>
      <c r="AA18" s="372">
        <f>IF(ISNUMBER(Datos!L18),Datos!L18,"-")</f>
        <v>89</v>
      </c>
      <c r="AB18" s="374">
        <f>IF(ISNUMBER(Datos!R18),Datos!R18," - ")</f>
        <v>0</v>
      </c>
      <c r="AC18" s="374">
        <f t="shared" si="8"/>
        <v>89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0.91883116883116878</v>
      </c>
      <c r="AM18" s="284">
        <f>IF(ISNUMBER(((NºAsuntos!I18/NºAsuntos!G18)*11)/factor_trimestre),((NºAsuntos!I18/NºAsuntos!G18)*11)/factor_trimestre," - ")</f>
        <v>3.4593639575971733</v>
      </c>
      <c r="AN18" s="267">
        <f>IF(ISNUMBER('Resol  Asuntos'!D18/NºAsuntos!G18),'Resol  Asuntos'!D18/NºAsuntos!G18," - ")</f>
        <v>0.21554770318021202</v>
      </c>
      <c r="AO18" s="268">
        <f>IF(ISNUMBER((NºAsuntos!C18+NºAsuntos!E18)/NºAsuntos!G18),(NºAsuntos!C18+NºAsuntos!E18)/NºAsuntos!G18," - ")</f>
        <v>1.3144876325088339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901</v>
      </c>
      <c r="G23" s="1163">
        <f>SUBTOTAL(9,G16:G22)</f>
        <v>965</v>
      </c>
      <c r="H23" s="1162">
        <f t="shared" ref="H23:O23" si="13">SUBTOTAL(9,H15:H22)</f>
        <v>0</v>
      </c>
      <c r="I23" s="1164">
        <f t="shared" si="13"/>
        <v>0</v>
      </c>
      <c r="J23" s="1164">
        <f t="shared" si="13"/>
        <v>0</v>
      </c>
      <c r="K23" s="1164">
        <f t="shared" si="13"/>
        <v>0</v>
      </c>
      <c r="L23" s="1164">
        <f t="shared" si="13"/>
        <v>142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3307</v>
      </c>
      <c r="X23" s="1164">
        <f t="shared" si="14"/>
        <v>129</v>
      </c>
      <c r="Y23" s="1165">
        <f t="shared" si="14"/>
        <v>3436</v>
      </c>
      <c r="Z23" s="1165">
        <f t="shared" si="14"/>
        <v>0</v>
      </c>
      <c r="AA23" s="1165">
        <f t="shared" si="14"/>
        <v>1021</v>
      </c>
      <c r="AB23" s="1165">
        <f t="shared" si="14"/>
        <v>150</v>
      </c>
      <c r="AC23" s="1165">
        <f t="shared" si="14"/>
        <v>1171</v>
      </c>
      <c r="AD23" s="1165">
        <f t="shared" si="14"/>
        <v>0</v>
      </c>
      <c r="AE23" s="1169">
        <f t="shared" si="14"/>
        <v>0</v>
      </c>
      <c r="AF23" s="1162">
        <f t="shared" si="14"/>
        <v>0</v>
      </c>
      <c r="AG23" s="1170">
        <f t="shared" si="14"/>
        <v>0</v>
      </c>
      <c r="AH23" s="1167">
        <f t="shared" si="14"/>
        <v>0</v>
      </c>
      <c r="AI23" s="1162">
        <f t="shared" si="14"/>
        <v>559</v>
      </c>
      <c r="AJ23" s="1164">
        <f t="shared" si="14"/>
        <v>0</v>
      </c>
      <c r="AK23" s="1167">
        <f t="shared" si="14"/>
        <v>0</v>
      </c>
      <c r="AL23" s="1171">
        <f>IF(ISNUMBER(NºAsuntos!G23/NºAsuntos!E23),NºAsuntos!G23/NºAsuntos!E23," - ")</f>
        <v>0.98334820101100207</v>
      </c>
      <c r="AM23" s="1171">
        <f>IF(ISNUMBER(((NºAsuntos!I23/NºAsuntos!G23)*11)/factor_trimestre),((NºAsuntos!I23/NºAsuntos!G23)*11)/factor_trimestre," - ")</f>
        <v>3.3961294224372542</v>
      </c>
      <c r="AN23" s="1172">
        <f>IF(ISNUMBER('Resol  Asuntos'!D23/NºAsuntos!G23),'Resol  Asuntos'!D23/NºAsuntos!G23," - ")</f>
        <v>0.16903537949803446</v>
      </c>
      <c r="AO23" s="1173">
        <f>IF(ISNUMBER((NºAsuntos!C23+NºAsuntos!E23)/NºAsuntos!G23),(NºAsuntos!C23+NºAsuntos!E23)/NºAsuntos!G23," - ")</f>
        <v>1.3087390384033868</v>
      </c>
      <c r="AP23" s="1174" t="str">
        <f t="shared" si="2"/>
        <v xml:space="preserve"> - </v>
      </c>
      <c r="AQ23" s="1174">
        <f>IF(ISNUMBER((H23-W23+K23)/(F23)),(H23-W23+K23)/(F23)," - ")</f>
        <v>-3.6703662597114319</v>
      </c>
      <c r="AR23" s="1175">
        <f>IF(ISNUMBER((Datos!P23-Datos!Q23)/(Datos!R23-Datos!P23+Datos!Q23)),(Datos!P23-Datos!Q23)/(Datos!R23-Datos!P23+Datos!Q23)," - ")</f>
        <v>9.4890510948905105E-2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910</v>
      </c>
      <c r="G31" s="1118">
        <f t="shared" si="20"/>
        <v>974</v>
      </c>
      <c r="H31" s="1117">
        <f t="shared" si="20"/>
        <v>0</v>
      </c>
      <c r="I31" s="1119">
        <f t="shared" si="20"/>
        <v>0</v>
      </c>
      <c r="J31" s="1119">
        <f t="shared" si="20"/>
        <v>0</v>
      </c>
      <c r="K31" s="1180">
        <f t="shared" si="20"/>
        <v>0</v>
      </c>
      <c r="L31" s="1119">
        <f t="shared" si="20"/>
        <v>910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3327</v>
      </c>
      <c r="X31" s="1118">
        <f t="shared" si="21"/>
        <v>629</v>
      </c>
      <c r="Y31" s="1125">
        <f t="shared" si="21"/>
        <v>3956</v>
      </c>
      <c r="Z31" s="1125">
        <f t="shared" si="21"/>
        <v>0</v>
      </c>
      <c r="AA31" s="1125">
        <f t="shared" si="21"/>
        <v>1031</v>
      </c>
      <c r="AB31" s="1125">
        <f t="shared" si="21"/>
        <v>3342</v>
      </c>
      <c r="AC31" s="1125">
        <f t="shared" si="21"/>
        <v>1181</v>
      </c>
      <c r="AD31" s="1125">
        <f t="shared" si="21"/>
        <v>0</v>
      </c>
      <c r="AE31" s="1127">
        <f t="shared" si="21"/>
        <v>0</v>
      </c>
      <c r="AF31" s="1128">
        <f t="shared" si="21"/>
        <v>0</v>
      </c>
      <c r="AG31" s="1129">
        <f t="shared" si="21"/>
        <v>0</v>
      </c>
      <c r="AH31" s="1127">
        <f t="shared" si="21"/>
        <v>0</v>
      </c>
      <c r="AI31" s="1117">
        <f t="shared" si="21"/>
        <v>1178</v>
      </c>
      <c r="AJ31" s="1117">
        <f t="shared" si="21"/>
        <v>0</v>
      </c>
      <c r="AK31" s="1127">
        <f t="shared" si="21"/>
        <v>0</v>
      </c>
      <c r="AL31" s="1183">
        <f>IF(ISNUMBER(NºAsuntos!G31/NºAsuntos!E31),NºAsuntos!G31/NºAsuntos!E31," - ")</f>
        <v>0.97472426470588236</v>
      </c>
      <c r="AM31" s="1184">
        <f>IF(ISNUMBER(((NºAsuntos!I31/NºAsuntos!G31)*11)/factor_trimestre),((NºAsuntos!I31/NºAsuntos!G31)*11)/factor_trimestre," - ")</f>
        <v>4.3892817853213888</v>
      </c>
      <c r="AN31" s="1184">
        <f>IF(ISNUMBER('Resol  Asuntos'!D31/NºAsuntos!G31),'Resol  Asuntos'!D31/NºAsuntos!G31," - ")</f>
        <v>0.18513279899418514</v>
      </c>
      <c r="AO31" s="1185">
        <f>IF(ISNUMBER((NºAsuntos!C31+NºAsuntos!E31)/NºAsuntos!G31),(NºAsuntos!C31+NºAsuntos!E31)/NºAsuntos!G31," - ")</f>
        <v>1.3927392739273927</v>
      </c>
      <c r="AP31" s="1186" t="str">
        <f t="shared" si="2"/>
        <v xml:space="preserve"> - </v>
      </c>
      <c r="AQ31" s="1187">
        <f>IF(OR(ISNUMBER(FIND("01",Criterios!A8,1)),ISNUMBER(FIND("02",Criterios!A8,1)),ISNUMBER(FIND("03",Criterios!A8,1)),ISNUMBER(FIND("04",Criterios!A8,1))),(I31-W31+K31)/(F31-K31),(H31-W31+K31)/(F31-K31))</f>
        <v>-3.6560439560439559</v>
      </c>
      <c r="AR31" s="1188">
        <f>IF(ISNUMBER((Datos!P31-Datos!Q31)/(Datos!R31-Datos!P31+Datos!Q31)),(Datos!P31-Datos!Q31)/(Datos!R31-Datos!P31+Datos!Q31)," - ")</f>
        <v>9.1800065338124792E-2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462.96810545292072</v>
      </c>
      <c r="G33" s="277">
        <f>IF(ISNUMBER(STDEV(G8:G30)),STDEV(G8:G30),"-")</f>
        <v>448.17842960355063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1518.5855103947727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296.98244296350487</v>
      </c>
      <c r="AJ33" s="276">
        <f t="shared" si="25"/>
        <v>0</v>
      </c>
      <c r="AK33" s="278">
        <f t="shared" si="25"/>
        <v>0</v>
      </c>
      <c r="AL33" s="273">
        <f t="shared" si="25"/>
        <v>2.5343239492771983E-2</v>
      </c>
      <c r="AM33" s="274">
        <f t="shared" si="25"/>
        <v>1.1290234282988236</v>
      </c>
      <c r="AN33" s="274">
        <f t="shared" si="25"/>
        <v>0.24978387422870038</v>
      </c>
      <c r="AO33" s="275">
        <f t="shared" si="25"/>
        <v>9.8020923215922651E-2</v>
      </c>
      <c r="AP33" s="317" t="str">
        <f t="shared" si="25"/>
        <v>-</v>
      </c>
      <c r="AQ33" s="318">
        <f t="shared" si="25"/>
        <v>1.0239924690434892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WxoH57digcCBqz1WOZO3/9UEy3MY8q9vJ44vn9SVYkHKbrEC3zv5fwpLJrOLwtCQEzAVsIAxxRWXmINu+6MpQ==" saltValue="fHv6j4f5oFklvru+t8kM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PICASSENT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0.10526315789473684</v>
      </c>
      <c r="F10" s="393">
        <f>IF(ISNUMBER((Datos!K10-Datos!U10)/Datos!U10),(Datos!K10-Datos!U10)/Datos!U10," - ")</f>
        <v>0.25</v>
      </c>
      <c r="G10" s="394">
        <f>IF(ISNUMBER((Datos!L10-Datos!V10)/Datos!V10),(Datos!L10-Datos!V10)/Datos!V10," - ")</f>
        <v>0.1111111111111111</v>
      </c>
      <c r="H10" s="244">
        <f>IF(ISNUMBER((Datos!M10-Datos!W10)/Datos!W10),(Datos!M10-Datos!W10)/Datos!W10," - ")</f>
        <v>7</v>
      </c>
      <c r="I10" s="395">
        <f>IF(ISNUMBER((Tasas!C10-Datos!BE10)/Datos!BE10),(Tasas!C10-Datos!BE10)/Datos!BE10," - ")</f>
        <v>-0.1111111111111111</v>
      </c>
      <c r="J10" s="394">
        <f>IF(ISNUMBER((Tasas!D10-Datos!BF10)/Datos!BF10),(Tasas!D10-Datos!BF10)/Datos!BF10," - ")</f>
        <v>5.4</v>
      </c>
      <c r="K10" s="396">
        <f>IF(ISNUMBER((Tasas!E10-Datos!BG10)/Datos!BG10),(Tasas!E10-Datos!BG10)/Datos!BG10," - ")</f>
        <v>-0.04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0.15517241379310345</v>
      </c>
      <c r="I12" s="395">
        <f>IF(ISNUMBER((Tasas!C12-Datos!BE12)/Datos!BE12),(Tasas!C12-Datos!BE12)/Datos!BE12," - ")</f>
        <v>-1.6813919243586727E-2</v>
      </c>
      <c r="J12" s="394">
        <f>IF(ISNUMBER((Tasas!D12-Datos!BF12)/Datos!BF12),(Tasas!D12-Datos!BF12)/Datos!BF12," - ")</f>
        <v>-0.51037006471789081</v>
      </c>
      <c r="K12" s="396">
        <f>IF(ISNUMBER((Tasas!E12-Datos!BG12)/Datos!BG12),(Tasas!E12-Datos!BG12)/Datos!BG12," - ")</f>
        <v>-1.2202485989708165E-2</v>
      </c>
      <c r="M12" t="e">
        <f>IF(Monitorios="SI",Datos!CE12,0)</f>
        <v>#REF!</v>
      </c>
      <c r="N12" t="e">
        <f>IF(Monitorios="SI",Datos!CF12,0)</f>
        <v>#REF!</v>
      </c>
      <c r="O12" t="e">
        <f>IF(Monitorios="SI",Datos!CG12,0)</f>
        <v>#REF!</v>
      </c>
      <c r="P12" t="e">
        <f>IF(Monitorios="SI",Datos!CH12,0)</f>
        <v>#REF!</v>
      </c>
      <c r="Q12">
        <f>IF(J_V="SI",0,Datos!AG12)</f>
        <v>158</v>
      </c>
      <c r="R12">
        <f>IF(J_V="SI",0,Datos!AH12)</f>
        <v>319</v>
      </c>
      <c r="S12">
        <f>IF(J_V="SI",0,Datos!AI12)</f>
        <v>344</v>
      </c>
      <c r="T12">
        <f>IF(J_V="SI",0,Datos!AJ12)</f>
        <v>139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0.18129770992366412</v>
      </c>
      <c r="I14" s="402">
        <f>IF(ISNUMBER((Tasas!C14-Datos!BE14)/Datos!BE14),(Tasas!C14-Datos!BE14)/Datos!BE14," - ")</f>
        <v>-1.7429697987218849E-2</v>
      </c>
      <c r="J14" s="400">
        <f>IF(ISNUMBER((Tasas!D14-Datos!BF14)/Datos!BF14),(Tasas!D14-Datos!BF14)/Datos!BF14," - ")</f>
        <v>-0.4986181169061133</v>
      </c>
      <c r="K14" s="403">
        <f>IF(ISNUMBER((Tasas!E14-Datos!BG14)/Datos!BG14),(Tasas!E14-Datos!BG14)/Datos!BG14," - ")</f>
        <v>-1.2366342852141879E-2</v>
      </c>
      <c r="M14" t="e">
        <f>IF(Monitorios="SI",Datos!CE14,0)</f>
        <v>#REF!</v>
      </c>
      <c r="N14" t="e">
        <f>IF(Monitorios="SI",Datos!CF14,0)</f>
        <v>#REF!</v>
      </c>
      <c r="O14" t="e">
        <f>IF(Monitorios="SI",Datos!CG14,0)</f>
        <v>#REF!</v>
      </c>
      <c r="P14" t="e">
        <f>IF(Monitorios="SI",Datos!CH14,0)</f>
        <v>#REF!</v>
      </c>
      <c r="Q14">
        <f>IF(J_V="SI",0,Datos!AG14)</f>
        <v>158</v>
      </c>
      <c r="R14">
        <f>IF(J_V="SI",0,Datos!AH14)</f>
        <v>319</v>
      </c>
      <c r="S14">
        <f>IF(J_V="SI",0,Datos!AI14)</f>
        <v>344</v>
      </c>
      <c r="T14">
        <f>IF(J_V="SI",0,Datos!AJ14)</f>
        <v>139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3.4443168771526977E-2</v>
      </c>
      <c r="E17" s="393">
        <f>IF(ISNUMBER(
   IF(D_I="SI",(Datos!J17-Datos!T17)/Datos!T17,(Datos!J17+Datos!AD17-(Datos!T17+Datos!AL17))/(Datos!T17+Datos!AL17))
     ),IF(D_I="SI",(Datos!J17-Datos!T17)/Datos!T17,(Datos!J17+Datos!AD17-(Datos!T17+Datos!AL17))/(Datos!T17+Datos!AL17))," - ")</f>
        <v>-7.1498212544686386E-3</v>
      </c>
      <c r="F17" s="393">
        <f>IF(ISNUMBER(
   IF(D_I="SI",(Datos!K17-Datos!U17)/Datos!U17,(Datos!K17+Datos!AE17-(Datos!U17+Datos!AM17))/(Datos!U17+Datos!AM17))
     ),IF(D_I="SI",(Datos!K17-Datos!U17)/Datos!U17,(Datos!K17+Datos!AE17-(Datos!U17+Datos!AM17))/(Datos!U17+Datos!AM17))," - ")</f>
        <v>-1.6265452179570591E-2</v>
      </c>
      <c r="G17" s="394">
        <f>IF(ISNUMBER(
   IF(D_I="SI",(Datos!L17-Datos!V17)/Datos!V17,(Datos!L17+Datos!AF17-(Datos!V17+Datos!AN17))/(Datos!V17+Datos!AN17))
     ),IF(D_I="SI",(Datos!L17-Datos!V17)/Datos!V17,(Datos!L17+Datos!AF17-(Datos!V17+Datos!AN17))/(Datos!V17+Datos!AN17))," - ")</f>
        <v>3.4406215316315207E-2</v>
      </c>
      <c r="H17" s="244">
        <f>IF(ISNUMBER((Datos!M17-Datos!W17)/Datos!W17),(Datos!M17-Datos!W17)/Datos!W17," - ")</f>
        <v>-4.0000000000000001E-3</v>
      </c>
      <c r="I17" s="395">
        <f>IF(ISNUMBER((Tasas!C17-Datos!BE17)/Datos!BE17),(Tasas!C17-Datos!BE17)/Datos!BE17," - ")</f>
        <v>5.1509492685963353E-2</v>
      </c>
      <c r="J17" s="394">
        <f>IF(ISNUMBER((Tasas!D17-Datos!BF17)/Datos!BF17),(Tasas!D17-Datos!BF17)/Datos!BF17," - ")</f>
        <v>1.2468253968253995E-2</v>
      </c>
      <c r="K17" s="396">
        <f>IF(ISNUMBER((Tasas!E17-Datos!BG17)/Datos!BG17),(Tasas!E17-Datos!BG17)/Datos!BG17," - ")</f>
        <v>1.859423832574798E-2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0.50980392156862742</v>
      </c>
      <c r="F18" s="393">
        <f>IF(ISNUMBER(
   IF(D_I="SI",(Datos!K18-Datos!U18)/Datos!U18,(Datos!K18+Datos!AE18-(Datos!U18+Datos!AM18))/(Datos!U18+Datos!AM18))
     ),IF(D_I="SI",(Datos!K18-Datos!U18)/Datos!U18,(Datos!K18+Datos!AE18-(Datos!U18+Datos!AM18))/(Datos!U18+Datos!AM18))," - ")</f>
        <v>3.5460992907801418E-3</v>
      </c>
      <c r="G18" s="394">
        <f>IF(ISNUMBER(
   IF(D_I="SI",(Datos!L18-Datos!V18)/Datos!V18,(Datos!L18+Datos!AF18-(Datos!V18+Datos!AN18))/(Datos!V18+Datos!AN18))
     ),IF(D_I="SI",(Datos!L18-Datos!V18)/Datos!V18,(Datos!L18+Datos!AF18-(Datos!V18+Datos!AN18))/(Datos!V18+Datos!AN18))," - ")</f>
        <v>0.390625</v>
      </c>
      <c r="H18" s="244">
        <f>IF(ISNUMBER((Datos!M18-Datos!W18)/Datos!W18),(Datos!M18-Datos!W18)/Datos!W18," - ")</f>
        <v>0.60526315789473684</v>
      </c>
      <c r="I18" s="395">
        <f>IF(ISNUMBER((Tasas!C18-Datos!BE18)/Datos!BE18),(Tasas!C18-Datos!BE18)/Datos!BE18," - ")</f>
        <v>0.38571113074204955</v>
      </c>
      <c r="J18" s="394">
        <f>IF(ISNUMBER((Tasas!D18-Datos!BF18)/Datos!BF18),(Tasas!D18-Datos!BF18)/Datos!BF18," - ")</f>
        <v>0.59959084991631029</v>
      </c>
      <c r="K18" s="396">
        <f>IF(ISNUMBER((Tasas!E18-Datos!BG18)/Datos!BG18),(Tasas!E18-Datos!BG18)/Datos!BG18," - ")</f>
        <v>0.17305541888446566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-1.8311291963377416E-2</v>
      </c>
      <c r="E23" s="399">
        <f>IF(ISNUMBER(
   IF(D_I="SI",(Datos!J23-Datos!T23)/Datos!T23,(Datos!J23+Datos!AD23-(Datos!T23+Datos!AL23))/(Datos!T23+Datos!AL23))
     ),IF(D_I="SI",(Datos!J23-Datos!T23)/Datos!T23,(Datos!J23+Datos!AD23-(Datos!T23+Datos!AL23))/(Datos!T23+Datos!AL23))," - ")</f>
        <v>2.4992380371837854E-2</v>
      </c>
      <c r="F23" s="399">
        <f>IF(ISNUMBER(
   IF(D_I="SI",(Datos!K23-Datos!U23)/Datos!U23,(Datos!K23+Datos!AE23-(Datos!U23+Datos!AM23))/(Datos!U23+Datos!AM23))
     ),IF(D_I="SI",(Datos!K23-Datos!U23)/Datos!U23,(Datos!K23+Datos!AE23-(Datos!U23+Datos!AM23))/(Datos!U23+Datos!AM23))," - ")</f>
        <v>-1.4600715137067939E-2</v>
      </c>
      <c r="G23" s="400">
        <f>IF(ISNUMBER(
   IF(D_I="SI",(Datos!L23-Datos!V23)/Datos!V23,(Datos!L23+Datos!AF23-(Datos!V23+Datos!AN23))/(Datos!V23+Datos!AN23))
     ),IF(D_I="SI",(Datos!L23-Datos!V23)/Datos!V23,(Datos!L23+Datos!AF23-(Datos!V23+Datos!AN23))/(Datos!V23+Datos!AN23))," - ")</f>
        <v>5.8031088082901555E-2</v>
      </c>
      <c r="H23" s="401">
        <f>IF(ISNUMBER((Datos!M23-Datos!W23)/Datos!W23),(Datos!M23-Datos!W23)/Datos!W23," - ")</f>
        <v>3.9033457249070633E-2</v>
      </c>
      <c r="I23" s="402">
        <f>IF(ISNUMBER((Tasas!C23-Datos!BE23)/Datos!BE23),(Tasas!C23-Datos!BE23)/Datos!BE23," - ")</f>
        <v>7.3707992623591484E-2</v>
      </c>
      <c r="J23" s="400">
        <f>IF(ISNUMBER((Tasas!D23-Datos!BF23)/Datos!BF23),(Tasas!D23-Datos!BF23)/Datos!BF23," - ")</f>
        <v>5.4428872853910217E-2</v>
      </c>
      <c r="K23" s="403">
        <f>IF(ISNUMBER((Tasas!E23-Datos!BG23)/Datos!BG23),(Tasas!E23-Datos!BG23)/Datos!BG23," - ")</f>
        <v>3.0048830413172235E-2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3.5492457852706299E-2</v>
      </c>
      <c r="E31" s="409">
        <f>IF(ISNUMBER(
   IF(J_V="SI",(Datos!J31-Datos!T31)/Datos!T31,(Datos!J31+Datos!Z31-(Datos!T31+Datos!AH31))/(Datos!T31+Datos!AH31))
     ),IF(J_V="SI",(Datos!J31-Datos!T31)/Datos!T31,(Datos!J31+Datos!Z31-(Datos!T31+Datos!AH31))/(Datos!T31+Datos!AH31))," - ")</f>
        <v>7.4037512339585387E-2</v>
      </c>
      <c r="F31" s="409">
        <f>IF(ISNUMBER(
   IF(J_V="SI",(Datos!K31-Datos!U31)/Datos!U31,(Datos!K31+Datos!AA31-(Datos!U31+Datos!AI31))/(Datos!U31+Datos!AI31))
     ),IF(J_V="SI",(Datos!K31-Datos!U31)/Datos!U31,(Datos!K31+Datos!AA31-(Datos!U31+Datos!AI31))/(Datos!U31+Datos!AI31))," - ")</f>
        <v>4.9307387862796835E-2</v>
      </c>
      <c r="G31" s="410">
        <f>IF(ISNUMBER(
   IF(J_V="SI",(Datos!L31-Datos!V31)/Datos!V31,(Datos!L31+Datos!AB31-(Datos!V31+Datos!AJ31))/(Datos!V31+Datos!AJ31))
     ),IF(J_V="SI",(Datos!L31-Datos!V31)/Datos!V31,(Datos!L31+Datos!AB31-(Datos!V31+Datos!AJ31))/(Datos!V31+Datos!AJ31))," - ")</f>
        <v>8.783204798628963E-2</v>
      </c>
      <c r="H31" s="411">
        <f>IF(ISNUMBER((Datos!M31-Datos!W31)/Datos!W31),(Datos!M31-Datos!W31)/Datos!W31," - ")</f>
        <v>0.10922787193973635</v>
      </c>
      <c r="I31" s="408">
        <f>IF(ISNUMBER((Tasas!C31-Datos!BE31)/Datos!BE31),(Tasas!C31-Datos!BE31)/Datos!BE31," - ")</f>
        <v>3.6714370421005831E-2</v>
      </c>
      <c r="J31" s="409">
        <f>IF(ISNUMBER((Tasas!D31-Datos!BF31)/Datos!BF31),(Tasas!D31-Datos!BF31)/Datos!BF31," - ")</f>
        <v>-0.31210459981572392</v>
      </c>
      <c r="K31" s="410">
        <f>IF(ISNUMBER((Tasas!E31-Datos!BG31)/Datos!BG31),(Tasas!E31-Datos!BG31)/Datos!BG31," - ")</f>
        <v>1.3630695762807121E-2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0.38003438294111108</v>
      </c>
      <c r="E33" s="303">
        <f t="shared" si="1"/>
        <v>0.23910420129115692</v>
      </c>
      <c r="F33" s="303">
        <f t="shared" si="1"/>
        <v>0.1298636882931454</v>
      </c>
      <c r="G33" s="304">
        <f t="shared" si="1"/>
        <v>0.16454427250855447</v>
      </c>
      <c r="H33" s="310">
        <f t="shared" si="1"/>
        <v>2.7863965680073877</v>
      </c>
      <c r="I33" s="302">
        <f t="shared" si="1"/>
        <v>0.17176571782154154</v>
      </c>
      <c r="J33" s="303">
        <f t="shared" si="1"/>
        <v>2.2701838727320678</v>
      </c>
      <c r="K33" s="304">
        <f t="shared" si="1"/>
        <v>7.6136361967797744E-2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bWIU5148teJ1oNEjEkyhOtXRSe42OdNNjwGNAe5sDfzT6UhWLtwftuAnoSZ01Rr5/Fvc5sKNplPjvPVzgZKFg==" saltValue="uGSE//L/Kzb/pjF/m5MGv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